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 codeName="{AE6600E7-7A62-396C-DE95-9942FA9DD81E}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青山学院大学部\Desktop\"/>
    </mc:Choice>
  </mc:AlternateContent>
  <xr:revisionPtr revIDLastSave="0" documentId="13_ncr:1_{E8E57D5A-1C4E-4881-9C83-E0258E059FF5}" xr6:coauthVersionLast="47" xr6:coauthVersionMax="47" xr10:uidLastSave="{00000000-0000-0000-0000-000000000000}"/>
  <workbookProtection workbookAlgorithmName="SHA-512" workbookHashValue="USgFR3LW9IiYvyHhqCDKLh6SwLgUJFHJ7g+m5tlVcaGaqQNW3UBuiQu9IGXnloTHe56t1hnPn0eNLBiRleUYCw==" workbookSaltValue="aS0zea/LZ2TtGpcM4fLsrw==" workbookSpinCount="100000" lockStructure="1"/>
  <bookViews>
    <workbookView xWindow="-120" yWindow="-120" windowWidth="24240" windowHeight="13140" tabRatio="795" activeTab="4" xr2:uid="{00000000-000D-0000-FFFF-FFFF00000000}"/>
  </bookViews>
  <sheets>
    <sheet name="Setup" sheetId="1" r:id="rId1"/>
    <sheet name="Lists" sheetId="3" state="hidden" r:id="rId2"/>
    <sheet name="DATA" sheetId="4" state="hidden" r:id="rId3"/>
    <sheet name="Weigh-In" sheetId="5" r:id="rId4"/>
    <sheet name="Lifting" sheetId="6" r:id="rId5"/>
    <sheet name="QuickPrint" sheetId="7" r:id="rId6"/>
    <sheet name="Awards" sheetId="8" r:id="rId7"/>
    <sheet name="SpeakersCard" sheetId="16" state="hidden" r:id="rId8"/>
    <sheet name="ContestResults" sheetId="17" state="hidden" r:id="rId9"/>
    <sheet name="ContestLog" sheetId="21" state="hidden" r:id="rId10"/>
    <sheet name="KG Records" sheetId="115" state="hidden" r:id="rId11"/>
    <sheet name="LB Records" sheetId="116" state="hidden" r:id="rId12"/>
    <sheet name="Quick-Reference" sheetId="110" state="hidden" r:id="rId13"/>
    <sheet name="IPF Formula" sheetId="117" r:id="rId14"/>
    <sheet name="Sheet1" sheetId="121" state="hidden" r:id="rId15"/>
    <sheet name="エントリー表" sheetId="118" state="hidden" r:id="rId16"/>
  </sheets>
  <functionGroups builtInGroupCount="19"/>
  <externalReferences>
    <externalReference r:id="rId17"/>
    <externalReference r:id="rId18"/>
    <externalReference r:id="rId19"/>
  </externalReferences>
  <definedNames>
    <definedName name="_xlnm._FilterDatabase" localSheetId="3" hidden="1">'Weigh-In'!$A$2:$BL$2</definedName>
    <definedName name="_Toc479714606" localSheetId="12">'Quick-Reference'!$G$1</definedName>
    <definedName name="Attempts" localSheetId="2">[1]Lists!$A$2:$A$11</definedName>
    <definedName name="Attempts" localSheetId="1">Lists!$A$2:$A$11</definedName>
    <definedName name="_xlnm.Print_Area" localSheetId="5">QuickPrint!$B$1:$AC$2</definedName>
    <definedName name="Rack">Lifting!$AF$2</definedName>
    <definedName name="氏名">Lifting!$AC$2</definedName>
    <definedName name="重量">Lifting!$AC$3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29" i="6" l="1"/>
  <c r="AX29" i="6"/>
  <c r="AW29" i="6"/>
  <c r="AV29" i="6"/>
  <c r="AS29" i="6"/>
  <c r="AR29" i="6" s="1"/>
  <c r="AQ29" i="6"/>
  <c r="AN29" i="6"/>
  <c r="X29" i="6"/>
  <c r="S29" i="6"/>
  <c r="N29" i="6"/>
  <c r="I29" i="6"/>
  <c r="CG29" i="6" s="1"/>
  <c r="BZ32" i="6"/>
  <c r="AX32" i="6"/>
  <c r="AW32" i="6"/>
  <c r="AV32" i="6"/>
  <c r="AS32" i="6"/>
  <c r="AQ32" i="6"/>
  <c r="AN32" i="6"/>
  <c r="X32" i="6"/>
  <c r="S32" i="6"/>
  <c r="N32" i="6"/>
  <c r="I32" i="6"/>
  <c r="CG32" i="6" s="1"/>
  <c r="BZ19" i="6"/>
  <c r="AX19" i="6"/>
  <c r="AW19" i="6"/>
  <c r="AV19" i="6"/>
  <c r="AS19" i="6"/>
  <c r="AR19" i="6" s="1"/>
  <c r="AQ19" i="6"/>
  <c r="AN19" i="6"/>
  <c r="X19" i="6"/>
  <c r="S19" i="6"/>
  <c r="N19" i="6"/>
  <c r="I19" i="6"/>
  <c r="CG19" i="6" s="1"/>
  <c r="BZ30" i="6"/>
  <c r="AX30" i="6"/>
  <c r="AW30" i="6"/>
  <c r="AV30" i="6"/>
  <c r="AS30" i="6"/>
  <c r="AQ30" i="6"/>
  <c r="AN30" i="6"/>
  <c r="X30" i="6"/>
  <c r="S30" i="6"/>
  <c r="N30" i="6"/>
  <c r="I30" i="6"/>
  <c r="CG30" i="6" s="1"/>
  <c r="BZ22" i="6"/>
  <c r="AX22" i="6"/>
  <c r="AW22" i="6"/>
  <c r="AV22" i="6"/>
  <c r="AS22" i="6"/>
  <c r="AR22" i="6" s="1"/>
  <c r="AQ22" i="6"/>
  <c r="AN22" i="6"/>
  <c r="X22" i="6"/>
  <c r="S22" i="6"/>
  <c r="N22" i="6"/>
  <c r="I22" i="6"/>
  <c r="CG22" i="6" s="1"/>
  <c r="BZ31" i="6"/>
  <c r="AX31" i="6"/>
  <c r="AW31" i="6"/>
  <c r="AV31" i="6"/>
  <c r="AS31" i="6"/>
  <c r="AQ31" i="6"/>
  <c r="AN31" i="6"/>
  <c r="X31" i="6"/>
  <c r="S31" i="6"/>
  <c r="N31" i="6"/>
  <c r="I31" i="6"/>
  <c r="CG31" i="6" s="1"/>
  <c r="BZ23" i="6"/>
  <c r="AX23" i="6"/>
  <c r="AW23" i="6"/>
  <c r="AV23" i="6"/>
  <c r="AS23" i="6"/>
  <c r="AR23" i="6" s="1"/>
  <c r="AQ23" i="6"/>
  <c r="AN23" i="6"/>
  <c r="X23" i="6"/>
  <c r="S23" i="6"/>
  <c r="N23" i="6"/>
  <c r="I23" i="6"/>
  <c r="CG23" i="6" s="1"/>
  <c r="BZ17" i="6"/>
  <c r="AX17" i="6"/>
  <c r="AW17" i="6"/>
  <c r="AV17" i="6"/>
  <c r="AS17" i="6"/>
  <c r="AQ17" i="6"/>
  <c r="AN17" i="6"/>
  <c r="X17" i="6"/>
  <c r="S17" i="6"/>
  <c r="N17" i="6"/>
  <c r="I17" i="6"/>
  <c r="CG17" i="6" s="1"/>
  <c r="BZ24" i="6"/>
  <c r="AX24" i="6"/>
  <c r="AW24" i="6"/>
  <c r="AV24" i="6"/>
  <c r="AS24" i="6"/>
  <c r="AR24" i="6" s="1"/>
  <c r="AQ24" i="6"/>
  <c r="AN24" i="6"/>
  <c r="X24" i="6"/>
  <c r="S24" i="6"/>
  <c r="N24" i="6"/>
  <c r="I24" i="6"/>
  <c r="CG24" i="6" s="1"/>
  <c r="BZ26" i="6"/>
  <c r="AX26" i="6"/>
  <c r="AW26" i="6"/>
  <c r="AV26" i="6"/>
  <c r="AS26" i="6"/>
  <c r="AQ26" i="6"/>
  <c r="AN26" i="6"/>
  <c r="X26" i="6"/>
  <c r="S26" i="6"/>
  <c r="N26" i="6"/>
  <c r="I26" i="6"/>
  <c r="CG26" i="6" s="1"/>
  <c r="BZ28" i="6"/>
  <c r="AX28" i="6"/>
  <c r="AW28" i="6"/>
  <c r="AV28" i="6"/>
  <c r="AS28" i="6"/>
  <c r="AR28" i="6" s="1"/>
  <c r="AQ28" i="6"/>
  <c r="AN28" i="6"/>
  <c r="X28" i="6"/>
  <c r="S28" i="6"/>
  <c r="N28" i="6"/>
  <c r="I28" i="6"/>
  <c r="CG28" i="6" s="1"/>
  <c r="BZ27" i="6"/>
  <c r="AX27" i="6"/>
  <c r="AW27" i="6"/>
  <c r="AV27" i="6"/>
  <c r="AS27" i="6"/>
  <c r="AQ27" i="6"/>
  <c r="AN27" i="6"/>
  <c r="X27" i="6"/>
  <c r="S27" i="6"/>
  <c r="N27" i="6"/>
  <c r="I27" i="6"/>
  <c r="CG27" i="6" s="1"/>
  <c r="BZ21" i="6"/>
  <c r="AX21" i="6"/>
  <c r="AW21" i="6"/>
  <c r="AV21" i="6"/>
  <c r="AS21" i="6"/>
  <c r="AR21" i="6" s="1"/>
  <c r="AQ21" i="6"/>
  <c r="AN21" i="6"/>
  <c r="X21" i="6"/>
  <c r="S21" i="6"/>
  <c r="N21" i="6"/>
  <c r="I21" i="6"/>
  <c r="CG21" i="6" s="1"/>
  <c r="BZ25" i="6"/>
  <c r="AX25" i="6"/>
  <c r="AW25" i="6"/>
  <c r="AV25" i="6"/>
  <c r="AS25" i="6"/>
  <c r="AQ25" i="6"/>
  <c r="AN25" i="6"/>
  <c r="X25" i="6"/>
  <c r="S25" i="6"/>
  <c r="N25" i="6"/>
  <c r="I25" i="6"/>
  <c r="CG25" i="6" s="1"/>
  <c r="BZ20" i="6"/>
  <c r="AX20" i="6"/>
  <c r="AW20" i="6"/>
  <c r="AV20" i="6"/>
  <c r="AS20" i="6"/>
  <c r="AR20" i="6" s="1"/>
  <c r="AQ20" i="6"/>
  <c r="AN20" i="6"/>
  <c r="X20" i="6"/>
  <c r="S20" i="6"/>
  <c r="N20" i="6"/>
  <c r="I20" i="6"/>
  <c r="CG20" i="6" s="1"/>
  <c r="BZ18" i="6"/>
  <c r="AX18" i="6"/>
  <c r="AW18" i="6"/>
  <c r="AV18" i="6"/>
  <c r="AS18" i="6"/>
  <c r="AQ18" i="6"/>
  <c r="AN18" i="6"/>
  <c r="X18" i="6"/>
  <c r="S18" i="6"/>
  <c r="N18" i="6"/>
  <c r="I18" i="6"/>
  <c r="CG18" i="6" s="1"/>
  <c r="BZ14" i="6"/>
  <c r="AX14" i="6"/>
  <c r="AW14" i="6"/>
  <c r="AV14" i="6"/>
  <c r="AS14" i="6"/>
  <c r="AR14" i="6" s="1"/>
  <c r="AQ14" i="6"/>
  <c r="AN14" i="6"/>
  <c r="X14" i="6"/>
  <c r="S14" i="6"/>
  <c r="N14" i="6"/>
  <c r="I14" i="6"/>
  <c r="CG14" i="6" s="1"/>
  <c r="BZ16" i="6"/>
  <c r="AX16" i="6"/>
  <c r="AW16" i="6"/>
  <c r="AV16" i="6"/>
  <c r="AS16" i="6"/>
  <c r="AQ16" i="6"/>
  <c r="AN16" i="6"/>
  <c r="X16" i="6"/>
  <c r="S16" i="6"/>
  <c r="N16" i="6"/>
  <c r="I16" i="6"/>
  <c r="CG16" i="6" s="1"/>
  <c r="BZ15" i="6"/>
  <c r="AX15" i="6"/>
  <c r="AW15" i="6"/>
  <c r="AV15" i="6"/>
  <c r="AS15" i="6"/>
  <c r="AR15" i="6" s="1"/>
  <c r="AQ15" i="6"/>
  <c r="AN15" i="6"/>
  <c r="X15" i="6"/>
  <c r="S15" i="6"/>
  <c r="N15" i="6"/>
  <c r="I15" i="6"/>
  <c r="CG15" i="6" s="1"/>
  <c r="BZ13" i="6"/>
  <c r="AX13" i="6"/>
  <c r="AW13" i="6"/>
  <c r="AV13" i="6"/>
  <c r="AS13" i="6"/>
  <c r="AQ13" i="6"/>
  <c r="AN13" i="6"/>
  <c r="X13" i="6"/>
  <c r="S13" i="6"/>
  <c r="N13" i="6"/>
  <c r="I13" i="6"/>
  <c r="CG13" i="6" s="1"/>
  <c r="CG57" i="6"/>
  <c r="CG56" i="6"/>
  <c r="CG55" i="6"/>
  <c r="CG54" i="6"/>
  <c r="CG53" i="6"/>
  <c r="CG52" i="6"/>
  <c r="CG51" i="6"/>
  <c r="CG50" i="6"/>
  <c r="CG49" i="6"/>
  <c r="CG48" i="6"/>
  <c r="CG47" i="6"/>
  <c r="CG39" i="6"/>
  <c r="CG46" i="6"/>
  <c r="CG45" i="6"/>
  <c r="CG44" i="6"/>
  <c r="CG43" i="6"/>
  <c r="CG42" i="6"/>
  <c r="CG41" i="6"/>
  <c r="CG40" i="6"/>
  <c r="CG38" i="6"/>
  <c r="CG37" i="6"/>
  <c r="CG36" i="6"/>
  <c r="CG35" i="6"/>
  <c r="CG34" i="6"/>
  <c r="CG33" i="6"/>
  <c r="CG101" i="6"/>
  <c r="CG100" i="6"/>
  <c r="CG99" i="6"/>
  <c r="CG98" i="6"/>
  <c r="CG97" i="6"/>
  <c r="CG96" i="6"/>
  <c r="CG90" i="6"/>
  <c r="CG89" i="6"/>
  <c r="CG88" i="6"/>
  <c r="CG87" i="6"/>
  <c r="CG86" i="6"/>
  <c r="CG64" i="6"/>
  <c r="CG78" i="6"/>
  <c r="CG77" i="6"/>
  <c r="CG76" i="6"/>
  <c r="CG75" i="6"/>
  <c r="CG74" i="6"/>
  <c r="CG73" i="6"/>
  <c r="CG72" i="6"/>
  <c r="CG63" i="6"/>
  <c r="CG62" i="6"/>
  <c r="CG61" i="6"/>
  <c r="CG60" i="6"/>
  <c r="CG59" i="6"/>
  <c r="CG58" i="6"/>
  <c r="CG107" i="6"/>
  <c r="CG106" i="6"/>
  <c r="CG105" i="6"/>
  <c r="CG104" i="6"/>
  <c r="CG103" i="6"/>
  <c r="CG102" i="6"/>
  <c r="CG95" i="6"/>
  <c r="CG94" i="6"/>
  <c r="CG93" i="6"/>
  <c r="CG92" i="6"/>
  <c r="CG91" i="6"/>
  <c r="CG71" i="6"/>
  <c r="CG85" i="6"/>
  <c r="CG84" i="6"/>
  <c r="CG83" i="6"/>
  <c r="CG82" i="6"/>
  <c r="CG81" i="6"/>
  <c r="CG80" i="6"/>
  <c r="CG79" i="6"/>
  <c r="CG70" i="6"/>
  <c r="CG69" i="6"/>
  <c r="CG68" i="6"/>
  <c r="CG67" i="6"/>
  <c r="CG66" i="6"/>
  <c r="CG65" i="6"/>
  <c r="E1" i="3"/>
  <c r="E8" i="3" s="1"/>
  <c r="V4" i="8"/>
  <c r="V5" i="8"/>
  <c r="V6" i="8"/>
  <c r="V7" i="8"/>
  <c r="V8" i="8"/>
  <c r="V9" i="8"/>
  <c r="V10" i="8"/>
  <c r="V11" i="8"/>
  <c r="V12" i="8"/>
  <c r="V13" i="8"/>
  <c r="V3" i="8"/>
  <c r="T4" i="8"/>
  <c r="T5" i="8"/>
  <c r="T6" i="8"/>
  <c r="T7" i="8"/>
  <c r="T8" i="8"/>
  <c r="T9" i="8"/>
  <c r="T10" i="8"/>
  <c r="T11" i="8"/>
  <c r="T12" i="8"/>
  <c r="T13" i="8"/>
  <c r="T3" i="8"/>
  <c r="S4" i="8"/>
  <c r="S5" i="8"/>
  <c r="S6" i="8"/>
  <c r="S7" i="8"/>
  <c r="S8" i="8"/>
  <c r="S9" i="8"/>
  <c r="S10" i="8"/>
  <c r="S11" i="8"/>
  <c r="S12" i="8"/>
  <c r="S13" i="8"/>
  <c r="S3" i="8"/>
  <c r="M1" i="8"/>
  <c r="CG12" i="6"/>
  <c r="F22" i="6"/>
  <c r="AZ25" i="6"/>
  <c r="AZ20" i="6"/>
  <c r="AZ17" i="6"/>
  <c r="AZ15" i="6"/>
  <c r="F17" i="6"/>
  <c r="F19" i="6"/>
  <c r="F21" i="6"/>
  <c r="F31" i="6"/>
  <c r="F23" i="6"/>
  <c r="AZ18" i="6"/>
  <c r="F16" i="6"/>
  <c r="AZ16" i="6"/>
  <c r="F25" i="6"/>
  <c r="F20" i="6"/>
  <c r="AZ24" i="6"/>
  <c r="AZ23" i="6"/>
  <c r="F29" i="6"/>
  <c r="AZ30" i="6"/>
  <c r="F14" i="6"/>
  <c r="F26" i="6"/>
  <c r="F28" i="6"/>
  <c r="F30" i="6"/>
  <c r="AZ21" i="6"/>
  <c r="AZ14" i="6"/>
  <c r="AZ31" i="6"/>
  <c r="F27" i="6"/>
  <c r="AZ26" i="6"/>
  <c r="AZ28" i="6"/>
  <c r="F13" i="6"/>
  <c r="AZ27" i="6"/>
  <c r="F32" i="6"/>
  <c r="AZ29" i="6"/>
  <c r="AZ32" i="6"/>
  <c r="AZ19" i="6"/>
  <c r="F15" i="6"/>
  <c r="F18" i="6"/>
  <c r="AZ22" i="6"/>
  <c r="AZ13" i="6"/>
  <c r="F24" i="6"/>
  <c r="B16" i="3"/>
  <c r="T17" i="6" l="1"/>
  <c r="T19" i="6"/>
  <c r="T20" i="6"/>
  <c r="T25" i="6"/>
  <c r="T32" i="6"/>
  <c r="T14" i="6"/>
  <c r="T27" i="6"/>
  <c r="T23" i="6"/>
  <c r="T18" i="6"/>
  <c r="T29" i="6"/>
  <c r="T22" i="6"/>
  <c r="T24" i="6"/>
  <c r="T28" i="6"/>
  <c r="T30" i="6"/>
  <c r="T16" i="6"/>
  <c r="T21" i="6"/>
  <c r="T31" i="6"/>
  <c r="T13" i="6"/>
  <c r="T26" i="6"/>
  <c r="T15" i="6"/>
  <c r="BA14" i="6"/>
  <c r="BA21" i="6"/>
  <c r="BA15" i="6"/>
  <c r="AT18" i="6"/>
  <c r="BA24" i="6"/>
  <c r="CB15" i="6"/>
  <c r="CB20" i="6"/>
  <c r="CB28" i="6"/>
  <c r="CB23" i="6"/>
  <c r="CB19" i="6"/>
  <c r="AT19" i="6"/>
  <c r="BA20" i="6"/>
  <c r="BA28" i="6"/>
  <c r="BA23" i="6"/>
  <c r="BA19" i="6"/>
  <c r="AT25" i="6"/>
  <c r="AT26" i="6"/>
  <c r="AT31" i="6"/>
  <c r="AT32" i="6"/>
  <c r="CB14" i="6"/>
  <c r="BA22" i="6"/>
  <c r="BA29" i="6"/>
  <c r="AT28" i="6"/>
  <c r="AT16" i="6"/>
  <c r="BA27" i="6"/>
  <c r="BA16" i="6"/>
  <c r="AR16" i="6"/>
  <c r="BA18" i="6"/>
  <c r="AT20" i="6"/>
  <c r="BA26" i="6"/>
  <c r="AR26" i="6"/>
  <c r="CB17" i="6"/>
  <c r="AT17" i="6"/>
  <c r="BA13" i="6"/>
  <c r="AR13" i="6"/>
  <c r="AT23" i="6"/>
  <c r="CB16" i="6"/>
  <c r="BA31" i="6"/>
  <c r="CB13" i="6"/>
  <c r="BA25" i="6"/>
  <c r="AR25" i="6"/>
  <c r="CB27" i="6"/>
  <c r="AT27" i="6"/>
  <c r="BA17" i="6"/>
  <c r="AT13" i="6"/>
  <c r="AT15" i="6"/>
  <c r="CB18" i="6"/>
  <c r="BA30" i="6"/>
  <c r="BA32" i="6"/>
  <c r="CB25" i="6"/>
  <c r="CB26" i="6"/>
  <c r="CB31" i="6"/>
  <c r="CB32" i="6"/>
  <c r="AT14" i="6"/>
  <c r="AR18" i="6"/>
  <c r="AT21" i="6"/>
  <c r="AR27" i="6"/>
  <c r="AT24" i="6"/>
  <c r="AR17" i="6"/>
  <c r="AT22" i="6"/>
  <c r="AR30" i="6"/>
  <c r="AT29" i="6"/>
  <c r="CB21" i="6"/>
  <c r="CB24" i="6"/>
  <c r="CB22" i="6"/>
  <c r="CB29" i="6"/>
  <c r="AT30" i="6"/>
  <c r="CB30" i="6"/>
  <c r="AR31" i="6"/>
  <c r="AR32" i="6"/>
  <c r="E2" i="3"/>
  <c r="AA2" i="121" l="1"/>
  <c r="Y2" i="121"/>
  <c r="X2" i="121"/>
  <c r="W2" i="121"/>
  <c r="V2" i="121"/>
  <c r="U2" i="121"/>
  <c r="T2" i="121"/>
  <c r="L2" i="121" s="1"/>
  <c r="A2" i="121"/>
  <c r="C9" i="8"/>
  <c r="A2" i="6"/>
  <c r="B9" i="8"/>
  <c r="M2" i="121" l="1"/>
  <c r="J2" i="121"/>
  <c r="F12" i="6"/>
  <c r="J1" i="21" l="1"/>
  <c r="F1" i="21"/>
  <c r="E1" i="21"/>
  <c r="C1" i="21"/>
  <c r="AG1" i="17"/>
  <c r="I15" i="16"/>
  <c r="A15" i="16"/>
  <c r="I2" i="16"/>
  <c r="A2" i="16"/>
  <c r="L10" i="8"/>
  <c r="M10" i="8" s="1"/>
  <c r="L2" i="8"/>
  <c r="BZ12" i="6"/>
  <c r="AX12" i="6"/>
  <c r="AW12" i="6"/>
  <c r="AV12" i="6"/>
  <c r="AS12" i="6"/>
  <c r="AQ12" i="6"/>
  <c r="AN12" i="6"/>
  <c r="AT12" i="6" s="1"/>
  <c r="AH12" i="6"/>
  <c r="X12" i="6"/>
  <c r="S12" i="6"/>
  <c r="N12" i="6"/>
  <c r="I12" i="6"/>
  <c r="AM11" i="6"/>
  <c r="E11" i="6"/>
  <c r="F2" i="6" s="1"/>
  <c r="D10" i="6"/>
  <c r="C10" i="6"/>
  <c r="A10" i="6"/>
  <c r="BH9" i="6"/>
  <c r="G8" i="6"/>
  <c r="C8" i="6"/>
  <c r="E4" i="6"/>
  <c r="E3" i="6"/>
  <c r="C3" i="8" s="1"/>
  <c r="AA2" i="5"/>
  <c r="Y2" i="5"/>
  <c r="X2" i="5"/>
  <c r="W2" i="5"/>
  <c r="V2" i="5"/>
  <c r="U2" i="5"/>
  <c r="T2" i="5"/>
  <c r="L2" i="5" s="1"/>
  <c r="B67" i="3"/>
  <c r="B63" i="3"/>
  <c r="B62" i="3"/>
  <c r="B55" i="3"/>
  <c r="B57" i="3" s="1"/>
  <c r="D45" i="3"/>
  <c r="Q36" i="3"/>
  <c r="Q35" i="3"/>
  <c r="O31" i="3"/>
  <c r="B31" i="3"/>
  <c r="AI11" i="6" s="1"/>
  <c r="O30" i="3"/>
  <c r="O29" i="3"/>
  <c r="O28" i="3"/>
  <c r="O27" i="3"/>
  <c r="O26" i="3"/>
  <c r="O25" i="3"/>
  <c r="O24" i="3"/>
  <c r="O23" i="3"/>
  <c r="B23" i="3"/>
  <c r="H50" i="3" s="1"/>
  <c r="O22" i="3"/>
  <c r="O21" i="3"/>
  <c r="P17" i="3"/>
  <c r="O16" i="3"/>
  <c r="O15" i="3"/>
  <c r="O14" i="3"/>
  <c r="O13" i="3"/>
  <c r="O12" i="3"/>
  <c r="O11" i="3"/>
  <c r="O10" i="3"/>
  <c r="O9" i="3"/>
  <c r="O8" i="3"/>
  <c r="O7" i="3"/>
  <c r="O6" i="3"/>
  <c r="P2" i="3"/>
  <c r="E10" i="3"/>
  <c r="G98" i="1"/>
  <c r="F98" i="1"/>
  <c r="G97" i="1"/>
  <c r="F97" i="1"/>
  <c r="G96" i="1"/>
  <c r="F96" i="1"/>
  <c r="E33" i="1"/>
  <c r="B33" i="1"/>
  <c r="P20" i="1"/>
  <c r="P19" i="1"/>
  <c r="P18" i="1"/>
  <c r="P17" i="1"/>
  <c r="F17" i="1"/>
  <c r="C17" i="1"/>
  <c r="P16" i="1"/>
  <c r="P15" i="1"/>
  <c r="P14" i="1"/>
  <c r="P13" i="1"/>
  <c r="P12" i="1"/>
  <c r="P11" i="1"/>
  <c r="P10" i="1"/>
  <c r="P9" i="1"/>
  <c r="P8" i="1"/>
  <c r="P7" i="1"/>
  <c r="P6" i="1"/>
  <c r="P5" i="1"/>
  <c r="C27" i="3" s="1"/>
  <c r="Z1" i="1"/>
  <c r="T1" i="1"/>
  <c r="B22" i="3"/>
  <c r="AZ12" i="6"/>
  <c r="B35" i="3"/>
  <c r="F41" i="3"/>
  <c r="B26" i="3"/>
  <c r="A4" i="6"/>
  <c r="B34" i="3"/>
  <c r="C45" i="3"/>
  <c r="B43" i="3"/>
  <c r="B42" i="3"/>
  <c r="B38" i="3"/>
  <c r="A6" i="6"/>
  <c r="B33" i="3"/>
  <c r="B15" i="3"/>
  <c r="CC30" i="6" l="1"/>
  <c r="AM30" i="6"/>
  <c r="CC17" i="6"/>
  <c r="AM17" i="6"/>
  <c r="CC27" i="6"/>
  <c r="AM27" i="6"/>
  <c r="CC18" i="6"/>
  <c r="AM18" i="6"/>
  <c r="CC13" i="6"/>
  <c r="AM13" i="6"/>
  <c r="CC29" i="6"/>
  <c r="AM29" i="6"/>
  <c r="CC22" i="6"/>
  <c r="AM22" i="6"/>
  <c r="CC24" i="6"/>
  <c r="AM24" i="6"/>
  <c r="CC21" i="6"/>
  <c r="AM21" i="6"/>
  <c r="CC32" i="6"/>
  <c r="AM32" i="6"/>
  <c r="CC31" i="6"/>
  <c r="AM31" i="6"/>
  <c r="CC26" i="6"/>
  <c r="AM26" i="6"/>
  <c r="CC25" i="6"/>
  <c r="AM25" i="6"/>
  <c r="CC16" i="6"/>
  <c r="AM16" i="6"/>
  <c r="CC19" i="6"/>
  <c r="AM19" i="6"/>
  <c r="AM28" i="6"/>
  <c r="AM15" i="6"/>
  <c r="CC20" i="6"/>
  <c r="CC23" i="6"/>
  <c r="CC14" i="6"/>
  <c r="AM23" i="6"/>
  <c r="AM20" i="6"/>
  <c r="CC28" i="6"/>
  <c r="AM14" i="6"/>
  <c r="CC15" i="6"/>
  <c r="U9" i="8"/>
  <c r="U4" i="8"/>
  <c r="U3" i="8"/>
  <c r="U10" i="8"/>
  <c r="U6" i="8"/>
  <c r="U11" i="8"/>
  <c r="U5" i="8"/>
  <c r="U13" i="8"/>
  <c r="U12" i="8"/>
  <c r="U8" i="8"/>
  <c r="U7" i="8"/>
  <c r="E64" i="3"/>
  <c r="S5" i="1"/>
  <c r="R19" i="1" s="1"/>
  <c r="B58" i="3"/>
  <c r="M2" i="5"/>
  <c r="B56" i="3"/>
  <c r="J2" i="5"/>
  <c r="G3" i="6"/>
  <c r="E6" i="3"/>
  <c r="E3" i="3"/>
  <c r="E5" i="3"/>
  <c r="E12" i="3"/>
  <c r="E4" i="3"/>
  <c r="E7" i="3"/>
  <c r="E9" i="3"/>
  <c r="B47" i="3"/>
  <c r="BN11" i="6"/>
  <c r="BB12" i="6"/>
  <c r="AO12" i="6"/>
  <c r="AM12" i="6"/>
  <c r="CB12" i="6"/>
  <c r="CC12" i="6"/>
  <c r="T12" i="6"/>
  <c r="AR12" i="6"/>
  <c r="BA12" i="6"/>
  <c r="B10" i="6"/>
  <c r="B45" i="3"/>
  <c r="AI28" i="6"/>
  <c r="AI15" i="6"/>
  <c r="AI29" i="6"/>
  <c r="AI25" i="6"/>
  <c r="AI12" i="6"/>
  <c r="AI13" i="6"/>
  <c r="AI17" i="6"/>
  <c r="B24" i="3"/>
  <c r="AI30" i="6"/>
  <c r="AI24" i="6"/>
  <c r="AI22" i="6"/>
  <c r="B32" i="3"/>
  <c r="B51" i="3"/>
  <c r="AI14" i="6"/>
  <c r="AI16" i="6"/>
  <c r="B44" i="3"/>
  <c r="B28" i="3"/>
  <c r="AI27" i="6"/>
  <c r="B25" i="3"/>
  <c r="AI32" i="6"/>
  <c r="AI20" i="6"/>
  <c r="AI21" i="6"/>
  <c r="AI26" i="6"/>
  <c r="AI23" i="6"/>
  <c r="AY15" i="6" l="1"/>
  <c r="BB15" i="6" s="1"/>
  <c r="Y15" i="6"/>
  <c r="AY26" i="6"/>
  <c r="BB26" i="6" s="1"/>
  <c r="Y26" i="6"/>
  <c r="AY24" i="6"/>
  <c r="BB24" i="6" s="1"/>
  <c r="Y24" i="6"/>
  <c r="Y18" i="6"/>
  <c r="AY18" i="6"/>
  <c r="BB18" i="6" s="1"/>
  <c r="AY28" i="6"/>
  <c r="BB28" i="6" s="1"/>
  <c r="Y28" i="6"/>
  <c r="AY20" i="6"/>
  <c r="BB20" i="6" s="1"/>
  <c r="Y20" i="6"/>
  <c r="AY14" i="6"/>
  <c r="BB14" i="6" s="1"/>
  <c r="Y14" i="6"/>
  <c r="Y17" i="6"/>
  <c r="AY17" i="6"/>
  <c r="BB17" i="6" s="1"/>
  <c r="AY31" i="6"/>
  <c r="BB31" i="6" s="1"/>
  <c r="Y31" i="6"/>
  <c r="AY22" i="6"/>
  <c r="BB22" i="6" s="1"/>
  <c r="Y22" i="6"/>
  <c r="Y27" i="6"/>
  <c r="AY27" i="6"/>
  <c r="BB27" i="6" s="1"/>
  <c r="AY23" i="6"/>
  <c r="BB23" i="6" s="1"/>
  <c r="Y23" i="6"/>
  <c r="Y16" i="6"/>
  <c r="AY16" i="6"/>
  <c r="BB16" i="6" s="1"/>
  <c r="AY32" i="6"/>
  <c r="BB32" i="6" s="1"/>
  <c r="Y32" i="6"/>
  <c r="AY29" i="6"/>
  <c r="BB29" i="6" s="1"/>
  <c r="Y29" i="6"/>
  <c r="AY19" i="6"/>
  <c r="BB19" i="6" s="1"/>
  <c r="Y19" i="6"/>
  <c r="AY25" i="6"/>
  <c r="BB25" i="6" s="1"/>
  <c r="Y25" i="6"/>
  <c r="AY21" i="6"/>
  <c r="BB21" i="6" s="1"/>
  <c r="Y21" i="6"/>
  <c r="Y13" i="6"/>
  <c r="AY13" i="6"/>
  <c r="BB13" i="6" s="1"/>
  <c r="Y30" i="6"/>
  <c r="AY30" i="6"/>
  <c r="BB30" i="6" s="1"/>
  <c r="J10" i="8"/>
  <c r="J2" i="8"/>
  <c r="J8" i="8" s="1"/>
  <c r="R13" i="1"/>
  <c r="R14" i="1"/>
  <c r="R6" i="1"/>
  <c r="R12" i="1"/>
  <c r="R20" i="1"/>
  <c r="R11" i="1"/>
  <c r="R17" i="1"/>
  <c r="R10" i="1"/>
  <c r="R9" i="1"/>
  <c r="R5" i="1"/>
  <c r="R18" i="1"/>
  <c r="R16" i="1"/>
  <c r="R8" i="1"/>
  <c r="R15" i="1"/>
  <c r="R7" i="1"/>
  <c r="BM11" i="6"/>
  <c r="AA12" i="6"/>
  <c r="AB12" i="6" s="1"/>
  <c r="Y12" i="6"/>
  <c r="AC12" i="6" s="1"/>
  <c r="C9" i="6"/>
  <c r="AY12" i="6"/>
  <c r="BK11" i="6"/>
  <c r="D41" i="3"/>
  <c r="AI19" i="6"/>
  <c r="H49" i="3"/>
  <c r="B36" i="3"/>
  <c r="B40" i="3"/>
  <c r="B29" i="3"/>
  <c r="F50" i="3"/>
  <c r="AI31" i="6"/>
  <c r="G50" i="3"/>
  <c r="I62" i="3"/>
  <c r="B37" i="3"/>
  <c r="D36" i="3"/>
  <c r="B64" i="3"/>
  <c r="E41" i="3"/>
  <c r="B49" i="3"/>
  <c r="G9" i="6"/>
  <c r="AI18" i="6"/>
  <c r="D2" i="6"/>
  <c r="I8" i="8"/>
  <c r="B46" i="3"/>
  <c r="D9" i="8"/>
  <c r="AC25" i="6" l="1"/>
  <c r="AD25" i="6" s="1"/>
  <c r="AO25" i="6"/>
  <c r="AC28" i="6"/>
  <c r="AD28" i="6" s="1"/>
  <c r="AO28" i="6"/>
  <c r="AA30" i="6"/>
  <c r="AC19" i="6"/>
  <c r="AD19" i="6" s="1"/>
  <c r="AO19" i="6"/>
  <c r="AC23" i="6"/>
  <c r="AD23" i="6" s="1"/>
  <c r="AO23" i="6"/>
  <c r="AA17" i="6"/>
  <c r="AA18" i="6"/>
  <c r="AA16" i="6"/>
  <c r="AC15" i="6"/>
  <c r="AD15" i="6" s="1"/>
  <c r="AO15" i="6"/>
  <c r="AC30" i="6"/>
  <c r="AD30" i="6" s="1"/>
  <c r="AO30" i="6"/>
  <c r="AA19" i="6"/>
  <c r="AA23" i="6"/>
  <c r="AC17" i="6"/>
  <c r="AD17" i="6" s="1"/>
  <c r="AO17" i="6"/>
  <c r="Z17" i="6"/>
  <c r="AC18" i="6"/>
  <c r="AD18" i="6" s="1"/>
  <c r="AO18" i="6"/>
  <c r="AH23" i="6"/>
  <c r="AH28" i="6"/>
  <c r="AH30" i="6"/>
  <c r="AH27" i="6"/>
  <c r="AH29" i="6"/>
  <c r="AH24" i="6"/>
  <c r="AH32" i="6"/>
  <c r="AH25" i="6"/>
  <c r="AH31" i="6"/>
  <c r="AH26" i="6"/>
  <c r="AC13" i="6"/>
  <c r="AD13" i="6" s="1"/>
  <c r="AO13" i="6"/>
  <c r="AA29" i="6"/>
  <c r="AC27" i="6"/>
  <c r="AD27" i="6" s="1"/>
  <c r="AO27" i="6"/>
  <c r="AA14" i="6"/>
  <c r="AA24" i="6"/>
  <c r="AC29" i="6"/>
  <c r="AD29" i="6" s="1"/>
  <c r="AO29" i="6"/>
  <c r="AC14" i="6"/>
  <c r="AD14" i="6" s="1"/>
  <c r="AO14" i="6"/>
  <c r="AC24" i="6"/>
  <c r="AD24" i="6" s="1"/>
  <c r="AO24" i="6"/>
  <c r="AH19" i="6"/>
  <c r="AH20" i="6"/>
  <c r="AH15" i="6"/>
  <c r="AH17" i="6"/>
  <c r="AH22" i="6"/>
  <c r="AH21" i="6"/>
  <c r="AH14" i="6"/>
  <c r="AH13" i="6"/>
  <c r="AH18" i="6"/>
  <c r="AH16" i="6"/>
  <c r="AC21" i="6"/>
  <c r="AD21" i="6" s="1"/>
  <c r="AO21" i="6"/>
  <c r="AC32" i="6"/>
  <c r="AD32" i="6" s="1"/>
  <c r="AO32" i="6"/>
  <c r="AC22" i="6"/>
  <c r="AD22" i="6" s="1"/>
  <c r="AO22" i="6"/>
  <c r="AC20" i="6"/>
  <c r="AD20" i="6" s="1"/>
  <c r="AO20" i="6"/>
  <c r="AC26" i="6"/>
  <c r="AD26" i="6" s="1"/>
  <c r="AO26" i="6"/>
  <c r="AA13" i="6"/>
  <c r="AA27" i="6"/>
  <c r="AA21" i="6"/>
  <c r="AA32" i="6"/>
  <c r="AA22" i="6"/>
  <c r="AA20" i="6"/>
  <c r="AA26" i="6"/>
  <c r="AC31" i="6"/>
  <c r="AD31" i="6" s="1"/>
  <c r="AO31" i="6"/>
  <c r="AA25" i="6"/>
  <c r="AC16" i="6"/>
  <c r="AD16" i="6" s="1"/>
  <c r="AO16" i="6"/>
  <c r="AA31" i="6"/>
  <c r="AA28" i="6"/>
  <c r="AA15" i="6"/>
  <c r="Z12" i="6"/>
  <c r="AD12" i="6"/>
  <c r="J6" i="8"/>
  <c r="J7" i="8"/>
  <c r="J5" i="8"/>
  <c r="J4" i="8"/>
  <c r="B39" i="3"/>
  <c r="BO11" i="6"/>
  <c r="C3" i="6"/>
  <c r="F3" i="6" s="1"/>
  <c r="C18" i="1"/>
  <c r="D8" i="8"/>
  <c r="CE25" i="6"/>
  <c r="E8" i="8"/>
  <c r="I7" i="8"/>
  <c r="CD26" i="6"/>
  <c r="CE24" i="6"/>
  <c r="CE19" i="6"/>
  <c r="CE26" i="6"/>
  <c r="CD15" i="6"/>
  <c r="CD17" i="6"/>
  <c r="CE12" i="6"/>
  <c r="CE13" i="6"/>
  <c r="CD21" i="6"/>
  <c r="CE31" i="6"/>
  <c r="CE32" i="6"/>
  <c r="CD29" i="6"/>
  <c r="CD13" i="6"/>
  <c r="D64" i="3"/>
  <c r="B48" i="3"/>
  <c r="C8" i="8"/>
  <c r="CE30" i="6"/>
  <c r="CE14" i="6"/>
  <c r="CE21" i="6"/>
  <c r="CD31" i="6"/>
  <c r="CE28" i="6"/>
  <c r="CE17" i="6"/>
  <c r="B8" i="8"/>
  <c r="CD16" i="6"/>
  <c r="CD12" i="6"/>
  <c r="I50" i="3"/>
  <c r="CE18" i="6"/>
  <c r="CE23" i="6"/>
  <c r="J50" i="3"/>
  <c r="B41" i="3"/>
  <c r="CD32" i="6"/>
  <c r="CD28" i="6"/>
  <c r="CE20" i="6"/>
  <c r="CE22" i="6"/>
  <c r="CE27" i="6"/>
  <c r="CE16" i="6"/>
  <c r="CD23" i="6"/>
  <c r="CD25" i="6"/>
  <c r="CE15" i="6"/>
  <c r="I6" i="8"/>
  <c r="CE29" i="6"/>
  <c r="CD22" i="6"/>
  <c r="CD14" i="6"/>
  <c r="CD27" i="6"/>
  <c r="I5" i="8"/>
  <c r="I4" i="8"/>
  <c r="CD24" i="6"/>
  <c r="CD19" i="6"/>
  <c r="CD18" i="6"/>
  <c r="Z23" i="6" l="1"/>
  <c r="Z32" i="6"/>
  <c r="Z31" i="6"/>
  <c r="Z29" i="6"/>
  <c r="Z28" i="6"/>
  <c r="Z26" i="6"/>
  <c r="Z27" i="6"/>
  <c r="Z25" i="6"/>
  <c r="Z24" i="6"/>
  <c r="Z22" i="6"/>
  <c r="Z21" i="6"/>
  <c r="Z19" i="6"/>
  <c r="Z18" i="6"/>
  <c r="Z16" i="6"/>
  <c r="Z15" i="6"/>
  <c r="Z14" i="6"/>
  <c r="Z13" i="6"/>
  <c r="AB29" i="6"/>
  <c r="AB15" i="6"/>
  <c r="AB20" i="6"/>
  <c r="AB27" i="6"/>
  <c r="AB14" i="6"/>
  <c r="AB17" i="6"/>
  <c r="AB30" i="6"/>
  <c r="AB28" i="6"/>
  <c r="AB22" i="6"/>
  <c r="AB13" i="6"/>
  <c r="AB23" i="6"/>
  <c r="AB25" i="6"/>
  <c r="AB31" i="6"/>
  <c r="AB32" i="6"/>
  <c r="AB19" i="6"/>
  <c r="AB16" i="6"/>
  <c r="AB26" i="6"/>
  <c r="AB21" i="6"/>
  <c r="AB24" i="6"/>
  <c r="AB18" i="6"/>
  <c r="P3" i="3"/>
  <c r="Q8" i="3" s="1"/>
  <c r="R8" i="3" s="1"/>
  <c r="I52" i="3"/>
  <c r="D31" i="1"/>
  <c r="D28" i="1"/>
  <c r="D25" i="1"/>
  <c r="D30" i="1"/>
  <c r="D27" i="1"/>
  <c r="D22" i="1"/>
  <c r="F18" i="1"/>
  <c r="D29" i="1"/>
  <c r="D24" i="1"/>
  <c r="D21" i="1"/>
  <c r="D26" i="1"/>
  <c r="D23" i="1"/>
  <c r="BP11" i="6"/>
  <c r="E50" i="3"/>
  <c r="E52" i="3"/>
  <c r="C7" i="8"/>
  <c r="D5" i="8"/>
  <c r="D4" i="8"/>
  <c r="C5" i="8"/>
  <c r="B7" i="8"/>
  <c r="D7" i="8"/>
  <c r="D6" i="8"/>
  <c r="E6" i="8"/>
  <c r="B4" i="8"/>
  <c r="B6" i="8"/>
  <c r="I51" i="3"/>
  <c r="CD30" i="6"/>
  <c r="E7" i="8"/>
  <c r="CD20" i="6"/>
  <c r="E4" i="8"/>
  <c r="C4" i="8"/>
  <c r="C6" i="8"/>
  <c r="B5" i="8"/>
  <c r="E5" i="8"/>
  <c r="I53" i="3"/>
  <c r="Z20" i="6" l="1"/>
  <c r="Z30" i="6"/>
  <c r="Q13" i="3"/>
  <c r="R13" i="3" s="1"/>
  <c r="Q7" i="3"/>
  <c r="R7" i="3" s="1"/>
  <c r="P18" i="3"/>
  <c r="Q21" i="3" s="1"/>
  <c r="R21" i="3" s="1"/>
  <c r="Q11" i="3"/>
  <c r="R11" i="3" s="1"/>
  <c r="Q9" i="3"/>
  <c r="R9" i="3" s="1"/>
  <c r="Q12" i="3"/>
  <c r="R12" i="3" s="1"/>
  <c r="Q6" i="3"/>
  <c r="R6" i="3" s="1"/>
  <c r="Q10" i="3"/>
  <c r="R10" i="3" s="1"/>
  <c r="Q14" i="3"/>
  <c r="R14" i="3" s="1"/>
  <c r="Q16" i="3"/>
  <c r="R16" i="3" s="1"/>
  <c r="Q15" i="3"/>
  <c r="R15" i="3" s="1"/>
  <c r="D18" i="1"/>
  <c r="G21" i="1"/>
  <c r="E53" i="3"/>
  <c r="E51" i="3"/>
  <c r="F51" i="3"/>
  <c r="F53" i="3"/>
  <c r="E6" i="6" l="1"/>
  <c r="E5" i="6"/>
  <c r="Q22" i="3"/>
  <c r="Q3" i="3"/>
  <c r="C6" i="6"/>
  <c r="C5" i="6"/>
  <c r="G22" i="1"/>
  <c r="G10" i="6"/>
  <c r="R22" i="3" l="1"/>
  <c r="Q23" i="3"/>
  <c r="G23" i="1"/>
  <c r="R23" i="3" l="1"/>
  <c r="Q24" i="3"/>
  <c r="G24" i="1"/>
  <c r="R24" i="3" l="1"/>
  <c r="Q25" i="3"/>
  <c r="Q26" i="3" s="1"/>
  <c r="R26" i="3" s="1"/>
  <c r="G25" i="1"/>
  <c r="Q27" i="3" l="1"/>
  <c r="R27" i="3" s="1"/>
  <c r="R25" i="3"/>
  <c r="G26" i="1"/>
  <c r="E96" i="1" s="1"/>
  <c r="Q28" i="3" l="1"/>
  <c r="R28" i="3" s="1"/>
  <c r="G27" i="1"/>
  <c r="E97" i="1" s="1"/>
  <c r="Q29" i="3" l="1"/>
  <c r="G28" i="1"/>
  <c r="E98" i="1" s="1"/>
  <c r="R29" i="3" l="1"/>
  <c r="Q30" i="3"/>
  <c r="G29" i="1"/>
  <c r="G30" i="1" s="1"/>
  <c r="G31" i="1" s="1"/>
  <c r="G18" i="1" s="1"/>
  <c r="R30" i="3" l="1"/>
  <c r="Q31" i="3"/>
  <c r="R31" i="3" s="1"/>
  <c r="O38" i="3" l="1"/>
  <c r="Q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NextLifter-SONY</author>
  </authors>
  <commentList>
    <comment ref="A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NextLifter:</t>
        </r>
        <r>
          <rPr>
            <sz val="9"/>
            <color indexed="81"/>
            <rFont val="Tahoma"/>
            <family val="2"/>
          </rPr>
          <t xml:space="preserve">
last row on Lifting page</t>
        </r>
      </text>
    </comment>
    <comment ref="A1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NextLifter:</t>
        </r>
        <r>
          <rPr>
            <sz val="9"/>
            <color indexed="81"/>
            <rFont val="Tahoma"/>
            <family val="2"/>
          </rPr>
          <t xml:space="preserve">
Weighed in lifters to move to Lifting Sheet</t>
        </r>
      </text>
    </comment>
    <comment ref="A3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NextLifter:
</t>
        </r>
        <r>
          <rPr>
            <sz val="9"/>
            <color indexed="81"/>
            <rFont val="Tahoma"/>
            <family val="2"/>
          </rPr>
          <t>NextLifter sub</t>
        </r>
      </text>
    </comment>
    <comment ref="E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Age Division 
Event Record
</t>
        </r>
      </text>
    </comment>
    <comment ref="F5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Open Event Record</t>
        </r>
      </text>
    </comment>
    <comment ref="E5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Age Division 
PL T
Total Record
</t>
        </r>
      </text>
    </comment>
    <comment ref="F5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Open Total Record</t>
        </r>
      </text>
    </comment>
  </commentList>
</comments>
</file>

<file path=xl/sharedStrings.xml><?xml version="1.0" encoding="utf-8"?>
<sst xmlns="http://schemas.openxmlformats.org/spreadsheetml/2006/main" count="8902" uniqueCount="1287">
  <si>
    <t>Powerlifting (3 lift meet)</t>
  </si>
  <si>
    <t>Platform Weights</t>
  </si>
  <si>
    <t>Platform Weight Set</t>
  </si>
  <si>
    <t>Teams</t>
  </si>
  <si>
    <t>Bench Press Only</t>
  </si>
  <si>
    <t>Squat Only</t>
  </si>
  <si>
    <t>Abrev</t>
  </si>
  <si>
    <t>Team Name</t>
  </si>
  <si>
    <t>Deadlift Only</t>
  </si>
  <si>
    <t>Push Pull (Bench &amp; Deadlift)</t>
  </si>
  <si>
    <t>How</t>
  </si>
  <si>
    <t>Pound</t>
  </si>
  <si>
    <t>LOAD</t>
  </si>
  <si>
    <t>Kilo</t>
  </si>
  <si>
    <t>Many?</t>
  </si>
  <si>
    <t>Plates</t>
  </si>
  <si>
    <t>on Bar</t>
  </si>
  <si>
    <t>M/F-Div</t>
  </si>
  <si>
    <t>Description</t>
  </si>
  <si>
    <t>Pl Code</t>
  </si>
  <si>
    <t>FR-O</t>
  </si>
  <si>
    <t>bar &amp; collars</t>
  </si>
  <si>
    <t>Lbs Available on the Platform</t>
  </si>
  <si>
    <t>Kilos Available on the Platform</t>
  </si>
  <si>
    <t>MR-O</t>
  </si>
  <si>
    <t>Attempts</t>
  </si>
  <si>
    <t>col</t>
  </si>
  <si>
    <t>Squat 1</t>
  </si>
  <si>
    <t>SQ-1</t>
  </si>
  <si>
    <t>Bench Press 1</t>
  </si>
  <si>
    <t>Deadlift 1</t>
  </si>
  <si>
    <t>Squat 2</t>
  </si>
  <si>
    <t>SQ-2</t>
  </si>
  <si>
    <t>Bench Press 2</t>
  </si>
  <si>
    <t>Deadlift 2</t>
  </si>
  <si>
    <t>Squat 3</t>
  </si>
  <si>
    <t>SQ-3</t>
  </si>
  <si>
    <t>Bench Press 3</t>
  </si>
  <si>
    <t>Deadlift 3</t>
  </si>
  <si>
    <t>BP-1</t>
  </si>
  <si>
    <t>New Lifter</t>
  </si>
  <si>
    <t>BP-2</t>
  </si>
  <si>
    <t>BP-3</t>
  </si>
  <si>
    <t>DL-1</t>
  </si>
  <si>
    <t>DL-2</t>
  </si>
  <si>
    <t>DL-3</t>
  </si>
  <si>
    <t>125+</t>
  </si>
  <si>
    <t>90+</t>
  </si>
  <si>
    <t>Age</t>
  </si>
  <si>
    <t>Coeff</t>
  </si>
  <si>
    <t>USAPL Age Div</t>
  </si>
  <si>
    <t>wt</t>
  </si>
  <si>
    <t>120+</t>
  </si>
  <si>
    <t>84+</t>
  </si>
  <si>
    <t>Name</t>
  </si>
  <si>
    <t>Team</t>
  </si>
  <si>
    <t>Div</t>
  </si>
  <si>
    <t>lot#</t>
  </si>
  <si>
    <t>SQ rack</t>
  </si>
  <si>
    <t>BP rack</t>
  </si>
  <si>
    <t>Events Entered</t>
  </si>
  <si>
    <t>flight sort data</t>
  </si>
  <si>
    <t>att sort data</t>
  </si>
  <si>
    <t>Best SQ Att</t>
  </si>
  <si>
    <t>Best BP Att</t>
  </si>
  <si>
    <t>Sub Total</t>
  </si>
  <si>
    <t>Best DL Att</t>
  </si>
  <si>
    <t>C</t>
  </si>
  <si>
    <t>A</t>
  </si>
  <si>
    <t>PL</t>
  </si>
  <si>
    <t>B</t>
  </si>
  <si>
    <t>D</t>
  </si>
  <si>
    <t>Best SQ</t>
  </si>
  <si>
    <t>Best BP</t>
  </si>
  <si>
    <t>Best DL</t>
  </si>
  <si>
    <t>Place</t>
  </si>
  <si>
    <t>PL Total</t>
  </si>
  <si>
    <t>E</t>
  </si>
  <si>
    <t>F</t>
  </si>
  <si>
    <t>G</t>
  </si>
  <si>
    <t>H</t>
  </si>
  <si>
    <t>Foster</t>
  </si>
  <si>
    <t>McCulloch</t>
  </si>
  <si>
    <t>rank</t>
  </si>
  <si>
    <t>wt class list</t>
  </si>
  <si>
    <t>198+</t>
  </si>
  <si>
    <t>275+</t>
  </si>
  <si>
    <t>264+</t>
  </si>
  <si>
    <t>185+</t>
  </si>
  <si>
    <t>wt class rank lb</t>
  </si>
  <si>
    <t>wt class rank kg</t>
  </si>
  <si>
    <t>IPF Men-lb</t>
  </si>
  <si>
    <t>IPF women-lb</t>
  </si>
  <si>
    <t>IPF Men-kg</t>
  </si>
  <si>
    <t>IPF women-kg</t>
  </si>
  <si>
    <t>SQ time rank</t>
  </si>
  <si>
    <t>BP time rank</t>
  </si>
  <si>
    <t>CopyRows</t>
  </si>
  <si>
    <t>WT</t>
  </si>
  <si>
    <t>Attempt column</t>
  </si>
  <si>
    <t>Attempt</t>
  </si>
  <si>
    <t>Active lifter row</t>
  </si>
  <si>
    <t>Lifting Sheet Cell</t>
  </si>
  <si>
    <t>Lifting sheet row</t>
  </si>
  <si>
    <t>Lifting sheet column</t>
  </si>
  <si>
    <t>Weigh-in Macro values</t>
  </si>
  <si>
    <t>Lifting Sheet Macro Values</t>
  </si>
  <si>
    <t>Lifting Sheet Sort</t>
  </si>
  <si>
    <t>Last Row</t>
  </si>
  <si>
    <t>Event Flight</t>
  </si>
  <si>
    <t>Sort Column #</t>
  </si>
  <si>
    <t>Sort Column Ltr</t>
  </si>
  <si>
    <t>column Ltr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</si>
  <si>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</si>
  <si>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</si>
  <si>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</si>
  <si>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</si>
  <si>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</si>
  <si>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</si>
  <si>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</si>
  <si>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</si>
  <si>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</si>
  <si>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</si>
  <si>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</si>
  <si>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</si>
  <si>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</si>
  <si>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</si>
  <si>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</si>
  <si>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</si>
  <si>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</si>
  <si>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</si>
  <si>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column #</t>
  </si>
  <si>
    <t>Wt on Bar</t>
  </si>
  <si>
    <t>Max index SQ</t>
  </si>
  <si>
    <t>Max index DL</t>
  </si>
  <si>
    <t>Max index BP</t>
  </si>
  <si>
    <t>on</t>
  </si>
  <si>
    <t>Active Flt Last Row</t>
  </si>
  <si>
    <t>PP Total</t>
  </si>
  <si>
    <t>PP</t>
  </si>
  <si>
    <t>SQ</t>
  </si>
  <si>
    <t>BP</t>
  </si>
  <si>
    <t>DL</t>
  </si>
  <si>
    <t>DL/TL rank</t>
  </si>
  <si>
    <t>Forecasts</t>
  </si>
  <si>
    <t>NoLift</t>
  </si>
  <si>
    <t>sort</t>
  </si>
  <si>
    <t>tl or coef score</t>
  </si>
  <si>
    <t>Placing Code Max</t>
  </si>
  <si>
    <t>Lifter Wt Cls</t>
  </si>
  <si>
    <t>Lifter Div</t>
  </si>
  <si>
    <t>Barload for Next Lifter</t>
  </si>
  <si>
    <t>bar &amp; collars - lbs</t>
  </si>
  <si>
    <t>bar &amp; collars - kg</t>
  </si>
  <si>
    <t>Next Barload</t>
  </si>
  <si>
    <t>Rack Height</t>
  </si>
  <si>
    <t>Assigned Macro values</t>
  </si>
  <si>
    <t>Pl/Div/Cls/Event</t>
  </si>
  <si>
    <t>QuickPrint PasteCol</t>
  </si>
  <si>
    <t>QuickPrint RowClear</t>
  </si>
  <si>
    <t>Entered in Event</t>
  </si>
  <si>
    <t>PasteRow on QuickPrint</t>
  </si>
  <si>
    <t/>
  </si>
  <si>
    <t>Event</t>
  </si>
  <si>
    <t>3-Lift</t>
  </si>
  <si>
    <t>Bench Press</t>
  </si>
  <si>
    <t>Squat</t>
  </si>
  <si>
    <t>Deadlift</t>
  </si>
  <si>
    <t>Push Pull</t>
  </si>
  <si>
    <t>FillRows</t>
  </si>
  <si>
    <t>PLACE</t>
  </si>
  <si>
    <t>NAME</t>
  </si>
  <si>
    <t>row</t>
  </si>
  <si>
    <t>score code</t>
  </si>
  <si>
    <t>Total</t>
  </si>
  <si>
    <t>tl or event</t>
  </si>
  <si>
    <t>wilks score</t>
  </si>
  <si>
    <t>wilks &amp; age</t>
  </si>
  <si>
    <t>score value</t>
  </si>
  <si>
    <t>Next Flt Sort Value</t>
  </si>
  <si>
    <t>sorts next flt if = 0</t>
  </si>
  <si>
    <t>Next flt Start</t>
  </si>
  <si>
    <t>Next flt end</t>
  </si>
  <si>
    <t>Next Flt sort Col</t>
  </si>
  <si>
    <t>Concatenated Record Data</t>
  </si>
  <si>
    <t>Lot number:</t>
  </si>
  <si>
    <t>Weight
Class:</t>
  </si>
  <si>
    <t>Lifter/Coach
Initials:</t>
  </si>
  <si>
    <t>Rack Hts</t>
  </si>
  <si>
    <t>1st
Attempt</t>
  </si>
  <si>
    <t>2nd Attempt</t>
  </si>
  <si>
    <t>3rd
Attempt</t>
  </si>
  <si>
    <t>Best Attempt</t>
  </si>
  <si>
    <t>Subtotal</t>
  </si>
  <si>
    <t>Team:</t>
  </si>
  <si>
    <t>Body Weight:</t>
  </si>
  <si>
    <t>Division(s)</t>
  </si>
  <si>
    <t>Events Entered:</t>
  </si>
  <si>
    <t>Number of lifter in Event</t>
  </si>
  <si>
    <t>T1</t>
  </si>
  <si>
    <t>T2</t>
  </si>
  <si>
    <t>T3</t>
  </si>
  <si>
    <t>JR</t>
  </si>
  <si>
    <t>53-SQ</t>
  </si>
  <si>
    <t>53-BP</t>
  </si>
  <si>
    <t>53-DL</t>
  </si>
  <si>
    <t>53-TL</t>
  </si>
  <si>
    <t>59-SQ</t>
  </si>
  <si>
    <t>59-BP</t>
  </si>
  <si>
    <t>59-DL</t>
  </si>
  <si>
    <t>59-TL</t>
  </si>
  <si>
    <t>66-SQ</t>
  </si>
  <si>
    <t>66-BP</t>
  </si>
  <si>
    <t>66-DL</t>
  </si>
  <si>
    <t>66-TL</t>
  </si>
  <si>
    <t>74-SQ</t>
  </si>
  <si>
    <t>74-BP</t>
  </si>
  <si>
    <t>74-DL</t>
  </si>
  <si>
    <t>74-TL</t>
  </si>
  <si>
    <t>83-SQ</t>
  </si>
  <si>
    <t>83-BP</t>
  </si>
  <si>
    <t>83-DL</t>
  </si>
  <si>
    <t>83-TL</t>
  </si>
  <si>
    <t>93-SQ</t>
  </si>
  <si>
    <t>93-BP</t>
  </si>
  <si>
    <t>93-DL</t>
  </si>
  <si>
    <t>93-TL</t>
  </si>
  <si>
    <t>105-SQ</t>
  </si>
  <si>
    <t>105-BP</t>
  </si>
  <si>
    <t>105-DL</t>
  </si>
  <si>
    <t>105-TL</t>
  </si>
  <si>
    <t>120-SQ</t>
  </si>
  <si>
    <t>120-BP</t>
  </si>
  <si>
    <t>120-DL</t>
  </si>
  <si>
    <t>120-TL</t>
  </si>
  <si>
    <t>120+-SQ</t>
  </si>
  <si>
    <t>120+-BP</t>
  </si>
  <si>
    <t>120+-DL</t>
  </si>
  <si>
    <t>120+-TL</t>
  </si>
  <si>
    <t>53-BPO</t>
  </si>
  <si>
    <t>59-BPO</t>
  </si>
  <si>
    <t>66-BPO</t>
  </si>
  <si>
    <t>74-BPO</t>
  </si>
  <si>
    <t>83-BPO</t>
  </si>
  <si>
    <t>93-BPO</t>
  </si>
  <si>
    <t>105-BPO</t>
  </si>
  <si>
    <t>120-BPO</t>
  </si>
  <si>
    <t>120+-BPO</t>
  </si>
  <si>
    <t>53-DLO</t>
  </si>
  <si>
    <t>59-DLO</t>
  </si>
  <si>
    <t>66-DLO</t>
  </si>
  <si>
    <t>74-DLO</t>
  </si>
  <si>
    <t>83-DLO</t>
  </si>
  <si>
    <t>93-DLO</t>
  </si>
  <si>
    <t>105-DLO</t>
  </si>
  <si>
    <t>120-DLO</t>
  </si>
  <si>
    <t>120+-DLO</t>
  </si>
  <si>
    <t>43-SQ</t>
  </si>
  <si>
    <t>43-BP</t>
  </si>
  <si>
    <t>43-DL</t>
  </si>
  <si>
    <t>43-TL</t>
  </si>
  <si>
    <t>47-SQ</t>
  </si>
  <si>
    <t>47-BP</t>
  </si>
  <si>
    <t>47-DL</t>
  </si>
  <si>
    <t>47-TL</t>
  </si>
  <si>
    <t>52-SQ</t>
  </si>
  <si>
    <t>52-BP</t>
  </si>
  <si>
    <t>52-DL</t>
  </si>
  <si>
    <t>52-TL</t>
  </si>
  <si>
    <t>57-SQ</t>
  </si>
  <si>
    <t>57-BP</t>
  </si>
  <si>
    <t>57-DL</t>
  </si>
  <si>
    <t>57-TL</t>
  </si>
  <si>
    <t>63-SQ</t>
  </si>
  <si>
    <t>63-BP</t>
  </si>
  <si>
    <t>63-DL</t>
  </si>
  <si>
    <t>63-TL</t>
  </si>
  <si>
    <t>72-SQ</t>
  </si>
  <si>
    <t>72-BP</t>
  </si>
  <si>
    <t>72-DL</t>
  </si>
  <si>
    <t>72-TL</t>
  </si>
  <si>
    <t>84-SQ</t>
  </si>
  <si>
    <t>84-BP</t>
  </si>
  <si>
    <t>84-DL</t>
  </si>
  <si>
    <t>84-TL</t>
  </si>
  <si>
    <t>84+-SQ</t>
  </si>
  <si>
    <t>84+-BP</t>
  </si>
  <si>
    <t>84+-DL</t>
  </si>
  <si>
    <t>84+-TL</t>
  </si>
  <si>
    <t>43-BPO</t>
  </si>
  <si>
    <t>47-BPO</t>
  </si>
  <si>
    <t>52-BPO</t>
  </si>
  <si>
    <t>57-BPO</t>
  </si>
  <si>
    <t>63-BPO</t>
  </si>
  <si>
    <t>72-BPO</t>
  </si>
  <si>
    <t>84-BPO</t>
  </si>
  <si>
    <t>84+-BPO</t>
  </si>
  <si>
    <t>43-DLO</t>
  </si>
  <si>
    <t>47-DLO</t>
  </si>
  <si>
    <t>52-DLO</t>
  </si>
  <si>
    <t>57-DLO</t>
  </si>
  <si>
    <t>63-DLO</t>
  </si>
  <si>
    <t>72-DLO</t>
  </si>
  <si>
    <t>84-DLO</t>
  </si>
  <si>
    <t>84+-DLO</t>
  </si>
  <si>
    <t>Print Card</t>
  </si>
  <si>
    <t>BP only</t>
  </si>
  <si>
    <t>DL only</t>
  </si>
  <si>
    <t>div</t>
  </si>
  <si>
    <t>M1a</t>
  </si>
  <si>
    <t>M1b</t>
  </si>
  <si>
    <t>M2a</t>
  </si>
  <si>
    <t>M2b</t>
  </si>
  <si>
    <t>M3a</t>
  </si>
  <si>
    <t>M3b</t>
  </si>
  <si>
    <t>M4a</t>
  </si>
  <si>
    <t>M4b</t>
  </si>
  <si>
    <t>lookup Event</t>
  </si>
  <si>
    <t>Forecast
Score</t>
  </si>
  <si>
    <t>Wt Class-Event-Div</t>
  </si>
  <si>
    <t>Forecast total</t>
  </si>
  <si>
    <t>Min Increment</t>
  </si>
  <si>
    <t>Bwt - kg</t>
  </si>
  <si>
    <t>Next</t>
  </si>
  <si>
    <t>F'cast Place</t>
  </si>
  <si>
    <t>Record Lookups LB or Kilos</t>
  </si>
  <si>
    <t>Active Lifter Col</t>
  </si>
  <si>
    <t>Active Lifter Row</t>
  </si>
  <si>
    <t>cls</t>
  </si>
  <si>
    <t>116-SQ</t>
  </si>
  <si>
    <t>116-BP</t>
  </si>
  <si>
    <t>116-DL</t>
  </si>
  <si>
    <t>116-TL</t>
  </si>
  <si>
    <t>130-SQ</t>
  </si>
  <si>
    <t>130-BP</t>
  </si>
  <si>
    <t>130-DL</t>
  </si>
  <si>
    <t>130-TL</t>
  </si>
  <si>
    <t>145-SQ</t>
  </si>
  <si>
    <t>145-BP</t>
  </si>
  <si>
    <t>145-DL</t>
  </si>
  <si>
    <t>145-TL</t>
  </si>
  <si>
    <t>163-SQ</t>
  </si>
  <si>
    <t>163-BP</t>
  </si>
  <si>
    <t>163-DL</t>
  </si>
  <si>
    <t>163-TL</t>
  </si>
  <si>
    <t>183-SQ</t>
  </si>
  <si>
    <t>183-BP</t>
  </si>
  <si>
    <t>183-DL</t>
  </si>
  <si>
    <t>183-TL</t>
  </si>
  <si>
    <t>205-SQ</t>
  </si>
  <si>
    <t>205-BP</t>
  </si>
  <si>
    <t>205-DL</t>
  </si>
  <si>
    <t>205-TL</t>
  </si>
  <si>
    <t>231-SQ</t>
  </si>
  <si>
    <t>231-BP</t>
  </si>
  <si>
    <t>231-DL</t>
  </si>
  <si>
    <t>231-TL</t>
  </si>
  <si>
    <t>264-SQ</t>
  </si>
  <si>
    <t>264-BP</t>
  </si>
  <si>
    <t>264-DL</t>
  </si>
  <si>
    <t>264-TL</t>
  </si>
  <si>
    <t>264+-SQ</t>
  </si>
  <si>
    <t>264+-BP</t>
  </si>
  <si>
    <t>264+-DL</t>
  </si>
  <si>
    <t>264+-TL</t>
  </si>
  <si>
    <t>116-BPO</t>
  </si>
  <si>
    <t>130-BPO</t>
  </si>
  <si>
    <t>145-BPO</t>
  </si>
  <si>
    <t>163-BPO</t>
  </si>
  <si>
    <t>183-BPO</t>
  </si>
  <si>
    <t>205-BPO</t>
  </si>
  <si>
    <t>231-BPO</t>
  </si>
  <si>
    <t>264-BPO</t>
  </si>
  <si>
    <t>264+-BPO</t>
  </si>
  <si>
    <t>116-DLO</t>
  </si>
  <si>
    <t>130-DLO</t>
  </si>
  <si>
    <t>145-DLO</t>
  </si>
  <si>
    <t>163-DLO</t>
  </si>
  <si>
    <t>183-DLO</t>
  </si>
  <si>
    <t>205-DLO</t>
  </si>
  <si>
    <t>231-DLO</t>
  </si>
  <si>
    <t>264-DLO</t>
  </si>
  <si>
    <t>264+-DLO</t>
  </si>
  <si>
    <t>94-SQ</t>
  </si>
  <si>
    <t>94-BP</t>
  </si>
  <si>
    <t>94-DL</t>
  </si>
  <si>
    <t>94-TL</t>
  </si>
  <si>
    <t>103-SQ</t>
  </si>
  <si>
    <t>103-BP</t>
  </si>
  <si>
    <t>103-DL</t>
  </si>
  <si>
    <t>103-TL</t>
  </si>
  <si>
    <t>114-SQ</t>
  </si>
  <si>
    <t>114-BP</t>
  </si>
  <si>
    <t>114-DL</t>
  </si>
  <si>
    <t>114-TL</t>
  </si>
  <si>
    <t>125-SQ</t>
  </si>
  <si>
    <t>125-BP</t>
  </si>
  <si>
    <t>125-DL</t>
  </si>
  <si>
    <t>125-TL</t>
  </si>
  <si>
    <t>138-SQ</t>
  </si>
  <si>
    <t>138-BP</t>
  </si>
  <si>
    <t>138-DL</t>
  </si>
  <si>
    <t>138-TL</t>
  </si>
  <si>
    <t>158-SQ</t>
  </si>
  <si>
    <t>158-BP</t>
  </si>
  <si>
    <t>158-DL</t>
  </si>
  <si>
    <t>158-TL</t>
  </si>
  <si>
    <t>185-SQ</t>
  </si>
  <si>
    <t>185-BP</t>
  </si>
  <si>
    <t>185-DL</t>
  </si>
  <si>
    <t>185-TL</t>
  </si>
  <si>
    <t>185+-SQ</t>
  </si>
  <si>
    <t>185+-BP</t>
  </si>
  <si>
    <t>185+-DL</t>
  </si>
  <si>
    <t>185+-TL</t>
  </si>
  <si>
    <t>94-BPO</t>
  </si>
  <si>
    <t>103-BPO</t>
  </si>
  <si>
    <t>114-BPO</t>
  </si>
  <si>
    <t>125-BPO</t>
  </si>
  <si>
    <t>138-BPO</t>
  </si>
  <si>
    <t>158-BPO</t>
  </si>
  <si>
    <t>185-BPO</t>
  </si>
  <si>
    <t>185+-BPO</t>
  </si>
  <si>
    <t>94-DLO</t>
  </si>
  <si>
    <t>103-DLO</t>
  </si>
  <si>
    <t>114-DLO</t>
  </si>
  <si>
    <t>125-DLO</t>
  </si>
  <si>
    <t>138-DLO</t>
  </si>
  <si>
    <t>158-DLO</t>
  </si>
  <si>
    <t>185-DLO</t>
  </si>
  <si>
    <t>185+-DLO</t>
  </si>
  <si>
    <t>Eleiko</t>
  </si>
  <si>
    <t>Ivanko</t>
  </si>
  <si>
    <t>Titex</t>
  </si>
  <si>
    <t>Div-Cls</t>
  </si>
  <si>
    <t>event time</t>
  </si>
  <si>
    <t>Forecast Place</t>
  </si>
  <si>
    <t>Flight Sorting</t>
  </si>
  <si>
    <t>R-M5B</t>
  </si>
  <si>
    <t>R-M5A</t>
  </si>
  <si>
    <t>R-M4B</t>
  </si>
  <si>
    <t>R-M4A</t>
  </si>
  <si>
    <t>R-M3B</t>
  </si>
  <si>
    <t>R-M3A</t>
  </si>
  <si>
    <t>R-M2B</t>
  </si>
  <si>
    <t>R-M2A</t>
  </si>
  <si>
    <t>R-M1B</t>
  </si>
  <si>
    <t>R-M1A</t>
  </si>
  <si>
    <t>R-O</t>
  </si>
  <si>
    <t>R-JR</t>
  </si>
  <si>
    <t>R-Y3</t>
  </si>
  <si>
    <t>R-Y2</t>
  </si>
  <si>
    <t>R-Y1</t>
  </si>
  <si>
    <t>R-T3</t>
  </si>
  <si>
    <t>R-T2</t>
  </si>
  <si>
    <t>R-T1</t>
  </si>
  <si>
    <t>M6</t>
  </si>
  <si>
    <t>M5b</t>
  </si>
  <si>
    <t>M5a</t>
  </si>
  <si>
    <t>Y3</t>
  </si>
  <si>
    <t>Y2</t>
  </si>
  <si>
    <t>Y1</t>
  </si>
  <si>
    <t>Div Order</t>
  </si>
  <si>
    <t>Jr</t>
  </si>
  <si>
    <t>DB Div</t>
  </si>
  <si>
    <t>2015_Nextlifter_R102 Scoreboard.xlsx</t>
  </si>
  <si>
    <t>Reset for New Contest</t>
  </si>
  <si>
    <t>Lift</t>
  </si>
  <si>
    <t>State</t>
  </si>
  <si>
    <t>US State: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</si>
  <si>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</si>
  <si>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</si>
  <si>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</si>
  <si>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</si>
  <si>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</si>
  <si>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</si>
  <si>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</si>
  <si>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</si>
  <si>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</si>
  <si>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</si>
  <si>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</si>
  <si>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</si>
  <si>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</si>
  <si>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</si>
  <si>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</si>
  <si>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</si>
  <si>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</si>
  <si>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</si>
  <si>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</si>
  <si>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</si>
  <si>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</si>
  <si>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</si>
  <si>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</si>
  <si>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</si>
  <si>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</si>
  <si>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</si>
  <si>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</si>
  <si>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</si>
  <si>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</si>
  <si>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</si>
  <si>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</si>
  <si>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</si>
  <si>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</si>
  <si>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</si>
  <si>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</si>
  <si>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</si>
  <si>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</si>
  <si>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</si>
  <si>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</si>
  <si>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</si>
  <si>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</si>
  <si>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</si>
  <si>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</si>
  <si>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</si>
  <si>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</si>
  <si>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</si>
  <si>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</si>
  <si>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</si>
  <si>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</si>
  <si>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</si>
  <si>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</si>
  <si>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</si>
  <si>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</si>
  <si>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</si>
  <si>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</si>
  <si>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</si>
  <si>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</si>
  <si>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</si>
  <si>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</si>
  <si>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</si>
  <si>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</si>
  <si>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</si>
  <si>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</si>
  <si>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</si>
  <si>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</si>
  <si>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</si>
  <si>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</si>
  <si>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</si>
  <si>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</si>
  <si>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</si>
  <si>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</si>
  <si>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</si>
  <si>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</si>
  <si>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</si>
  <si>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</si>
  <si>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</si>
  <si>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</si>
  <si>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</si>
  <si>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</si>
  <si>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</si>
  <si>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</si>
  <si>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</si>
  <si>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</si>
  <si>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</si>
  <si>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</si>
  <si>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</si>
  <si>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</si>
  <si>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</si>
  <si>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</si>
  <si>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</si>
  <si>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</si>
  <si>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</si>
  <si>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</si>
  <si>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</si>
  <si>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</si>
  <si>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</si>
  <si>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</si>
  <si>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</si>
  <si>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</si>
  <si>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</si>
  <si>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American Samoa</t>
  </si>
  <si>
    <t>AS</t>
  </si>
  <si>
    <t>District of Columbia</t>
  </si>
  <si>
    <t>DC</t>
  </si>
  <si>
    <t>Federated States of Micronesia</t>
  </si>
  <si>
    <t>FM</t>
  </si>
  <si>
    <t>Guam</t>
  </si>
  <si>
    <t>GU</t>
  </si>
  <si>
    <t>Marshall Islands</t>
  </si>
  <si>
    <t>MH</t>
  </si>
  <si>
    <t>Northern Mariana Islands</t>
  </si>
  <si>
    <t>MP</t>
  </si>
  <si>
    <t>Palau</t>
  </si>
  <si>
    <t>PW</t>
  </si>
  <si>
    <t>Puerto Rico</t>
  </si>
  <si>
    <t>PR</t>
  </si>
  <si>
    <t>Virgin Islands</t>
  </si>
  <si>
    <t>VI</t>
  </si>
  <si>
    <t>M-O</t>
  </si>
  <si>
    <t>Lifter Lot#</t>
  </si>
  <si>
    <t>Repeats</t>
  </si>
  <si>
    <t>FR-T3</t>
  </si>
  <si>
    <t>FR-M1a</t>
  </si>
  <si>
    <t>FR-M1b</t>
  </si>
  <si>
    <t>FR-M4b</t>
  </si>
  <si>
    <t>FR-M2a</t>
  </si>
  <si>
    <t>FR-Y1</t>
  </si>
  <si>
    <t>FR-Y2</t>
  </si>
  <si>
    <t>FR-Y3</t>
  </si>
  <si>
    <t>FR-T1</t>
  </si>
  <si>
    <t>FR-T2</t>
  </si>
  <si>
    <t>FR-JR</t>
  </si>
  <si>
    <t>FR-M2b</t>
  </si>
  <si>
    <t>FR-M3a</t>
  </si>
  <si>
    <t>FR-M3b</t>
  </si>
  <si>
    <t>FR-M4a</t>
  </si>
  <si>
    <t>FR-M5a</t>
  </si>
  <si>
    <t>FR-M5b</t>
  </si>
  <si>
    <t>FR-M6</t>
  </si>
  <si>
    <t>MR-Y1</t>
  </si>
  <si>
    <t>MR-Y2</t>
  </si>
  <si>
    <t>MR-Y3</t>
  </si>
  <si>
    <t>MR-T1</t>
  </si>
  <si>
    <t>MR-T2</t>
  </si>
  <si>
    <t>MR-T3</t>
  </si>
  <si>
    <t>MR-JR</t>
  </si>
  <si>
    <t>MR-M1a</t>
  </si>
  <si>
    <t>MR-M1b</t>
  </si>
  <si>
    <t>MR-M2a</t>
  </si>
  <si>
    <t>MR-M2b</t>
  </si>
  <si>
    <t>MR-M3a</t>
  </si>
  <si>
    <t>MR-M3b</t>
  </si>
  <si>
    <t>MR-M4a</t>
  </si>
  <si>
    <t>MR-M4b</t>
  </si>
  <si>
    <t>MR-M5a</t>
  </si>
  <si>
    <t>MR-M5b</t>
  </si>
  <si>
    <t>MR-M6</t>
  </si>
  <si>
    <t>F-T1</t>
  </si>
  <si>
    <t>F-T2</t>
  </si>
  <si>
    <t>F-T3</t>
  </si>
  <si>
    <t>F-JR</t>
  </si>
  <si>
    <t>F-O</t>
  </si>
  <si>
    <t>F-M1a</t>
  </si>
  <si>
    <t>F-M1b</t>
  </si>
  <si>
    <t>F-M2a</t>
  </si>
  <si>
    <t>F-M2b</t>
  </si>
  <si>
    <t>F-M3a</t>
  </si>
  <si>
    <t>F-M3b</t>
  </si>
  <si>
    <t>F-M4a</t>
  </si>
  <si>
    <t>F-M4b</t>
  </si>
  <si>
    <t>F-M5a</t>
  </si>
  <si>
    <t>F-M5b</t>
  </si>
  <si>
    <t>F-M6</t>
  </si>
  <si>
    <t>M-T1</t>
  </si>
  <si>
    <t>M-T2</t>
  </si>
  <si>
    <t>M-T3</t>
  </si>
  <si>
    <t>M-JR</t>
  </si>
  <si>
    <t>M-M1a</t>
  </si>
  <si>
    <t>M-M1b</t>
  </si>
  <si>
    <t>M-M2a</t>
  </si>
  <si>
    <t>M-M2b</t>
  </si>
  <si>
    <t>M-M3a</t>
  </si>
  <si>
    <t>M-M3b</t>
  </si>
  <si>
    <t>M-M4a</t>
  </si>
  <si>
    <t>M-M4b</t>
  </si>
  <si>
    <t>M-M5a</t>
  </si>
  <si>
    <t>M-M5b</t>
  </si>
  <si>
    <t>M-M6</t>
  </si>
  <si>
    <t>USAPL Dvisions</t>
  </si>
  <si>
    <t>IPF Divisions</t>
  </si>
  <si>
    <t>Nominated Wt Class</t>
  </si>
  <si>
    <t>Auto</t>
  </si>
  <si>
    <t>on deck barload</t>
  </si>
  <si>
    <t>40-DLO</t>
  </si>
  <si>
    <t>35-DLO</t>
  </si>
  <si>
    <t>30-DLO</t>
  </si>
  <si>
    <t>40-BPO</t>
  </si>
  <si>
    <t>35-BPO</t>
  </si>
  <si>
    <t>30-BPO</t>
  </si>
  <si>
    <t>40-TL</t>
  </si>
  <si>
    <t>40-DL</t>
  </si>
  <si>
    <t>40-BP</t>
  </si>
  <si>
    <t>40-SQ</t>
  </si>
  <si>
    <t>35-TL</t>
  </si>
  <si>
    <t>35-DL</t>
  </si>
  <si>
    <t>35-BP</t>
  </si>
  <si>
    <t>35-SQ</t>
  </si>
  <si>
    <t>30-TL</t>
  </si>
  <si>
    <t>30-DL</t>
  </si>
  <si>
    <t>30-BP</t>
  </si>
  <si>
    <t>30-SQ</t>
  </si>
  <si>
    <t>48-DLO</t>
  </si>
  <si>
    <t>44-DLO</t>
  </si>
  <si>
    <t>48-BPO</t>
  </si>
  <si>
    <t>44-BPO</t>
  </si>
  <si>
    <t>48-TL</t>
  </si>
  <si>
    <t>48-DL</t>
  </si>
  <si>
    <t>48-BP</t>
  </si>
  <si>
    <t>48-SQ</t>
  </si>
  <si>
    <t>44-TL</t>
  </si>
  <si>
    <t>44-DL</t>
  </si>
  <si>
    <t>44-BP</t>
  </si>
  <si>
    <t>44-SQ</t>
  </si>
  <si>
    <t>88-DLO</t>
  </si>
  <si>
    <t>77-DLO</t>
  </si>
  <si>
    <t>88-BPO</t>
  </si>
  <si>
    <t>77-BPO</t>
  </si>
  <si>
    <t>88-TL</t>
  </si>
  <si>
    <t>88-DL</t>
  </si>
  <si>
    <t>88-BP</t>
  </si>
  <si>
    <t>88-SQ</t>
  </si>
  <si>
    <t>77-TL</t>
  </si>
  <si>
    <t>77-DL</t>
  </si>
  <si>
    <t>77-BP</t>
  </si>
  <si>
    <t>77-SQ</t>
  </si>
  <si>
    <t>97-DLO</t>
  </si>
  <si>
    <t>97-BPO</t>
  </si>
  <si>
    <t>97-TL</t>
  </si>
  <si>
    <t>97-DL</t>
  </si>
  <si>
    <t>97-BP</t>
  </si>
  <si>
    <t>97-SQ</t>
  </si>
  <si>
    <t>Record Lookups</t>
  </si>
  <si>
    <t>body weights in</t>
  </si>
  <si>
    <t xml:space="preserve">Weight classes </t>
  </si>
  <si>
    <t>bodyweight</t>
  </si>
  <si>
    <t>Wt Cls order</t>
  </si>
  <si>
    <t>IPF Wt Cls</t>
  </si>
  <si>
    <t>Women</t>
  </si>
  <si>
    <t>Men</t>
  </si>
  <si>
    <t>Raw Women (8-9)</t>
  </si>
  <si>
    <t>Raw Women (10-11)</t>
  </si>
  <si>
    <t>Raw Women (12-13)</t>
  </si>
  <si>
    <t>Raw Women (14-15)</t>
  </si>
  <si>
    <t>Raw Women (16-17)</t>
  </si>
  <si>
    <t>Raw Women (18-19)</t>
  </si>
  <si>
    <t>Raw Women (20-23)</t>
  </si>
  <si>
    <t>Raw Women (40-44)</t>
  </si>
  <si>
    <t>Raw Women (45-49)</t>
  </si>
  <si>
    <t>Raw Women (50-54)</t>
  </si>
  <si>
    <t>Raw Women (55-59)</t>
  </si>
  <si>
    <t>Raw Women (60-64)</t>
  </si>
  <si>
    <t>Raw Women (65-69)</t>
  </si>
  <si>
    <t>Raw Women (70-74)</t>
  </si>
  <si>
    <t>Raw Women (75-79)</t>
  </si>
  <si>
    <t>Raw Women (80-84)</t>
  </si>
  <si>
    <t>Raw Women (85-89)</t>
  </si>
  <si>
    <t>Raw Women (90+)-</t>
  </si>
  <si>
    <t>Raw Men (8-9)</t>
  </si>
  <si>
    <t>Raw Men (10-11)</t>
  </si>
  <si>
    <t>Raw Men (12-13)</t>
  </si>
  <si>
    <t>Raw Men (14-15)</t>
  </si>
  <si>
    <t>Raw Men (16-17)</t>
  </si>
  <si>
    <t>Raw Men (18-19)</t>
  </si>
  <si>
    <t>Raw Men (20-23)</t>
  </si>
  <si>
    <t>Raw Men (40-44)</t>
  </si>
  <si>
    <t>Raw Men (45-49)</t>
  </si>
  <si>
    <t>Raw Men (50-54)</t>
  </si>
  <si>
    <t>Raw Men (55-59)</t>
  </si>
  <si>
    <t>Raw Men (60-64)</t>
  </si>
  <si>
    <t>Raw Men (65-69)</t>
  </si>
  <si>
    <t>Raw Men (70-74)</t>
  </si>
  <si>
    <t>Raw Men (75-79)</t>
  </si>
  <si>
    <t>Raw Men (80-84)</t>
  </si>
  <si>
    <t>Raw Men (85-89)</t>
  </si>
  <si>
    <t>Raw Men (90+)-</t>
  </si>
  <si>
    <t>Men (14-15)</t>
  </si>
  <si>
    <t>Men (16-17)</t>
  </si>
  <si>
    <t>Men (18-19)</t>
  </si>
  <si>
    <t>Men (20-23)</t>
  </si>
  <si>
    <t>Men (40-44)</t>
  </si>
  <si>
    <t>Men (45-49)</t>
  </si>
  <si>
    <t>Men (50-54)</t>
  </si>
  <si>
    <t>Men (55-59)</t>
  </si>
  <si>
    <t>Men (60-64)</t>
  </si>
  <si>
    <t>Men (65-69)</t>
  </si>
  <si>
    <t>Men (70-74)</t>
  </si>
  <si>
    <t>Men (75-79)</t>
  </si>
  <si>
    <t>Men (80-84)</t>
  </si>
  <si>
    <t>Men (85-89)</t>
  </si>
  <si>
    <t>Men (90+)-</t>
  </si>
  <si>
    <t>Raw Women</t>
  </si>
  <si>
    <t>Raw Men</t>
  </si>
  <si>
    <t>Women (14-15)</t>
  </si>
  <si>
    <t>Women (16-17)</t>
  </si>
  <si>
    <t>Women (18-19)</t>
  </si>
  <si>
    <t>Women (20-23)</t>
  </si>
  <si>
    <t>Women (40-44)</t>
  </si>
  <si>
    <t>Women (45-49)</t>
  </si>
  <si>
    <t>Women (50-54)</t>
  </si>
  <si>
    <t>Women (55-59)</t>
  </si>
  <si>
    <t>Women (60-64)</t>
  </si>
  <si>
    <t>Women (65-69)</t>
  </si>
  <si>
    <t>Women (70-74)</t>
  </si>
  <si>
    <t>Women (75-79)</t>
  </si>
  <si>
    <t>Women (80-84)</t>
  </si>
  <si>
    <t>Women (85-89)</t>
  </si>
  <si>
    <t>Women (90+)-</t>
  </si>
  <si>
    <t>Open</t>
  </si>
  <si>
    <t>HS Men-lb</t>
  </si>
  <si>
    <t>HS Women-lb</t>
  </si>
  <si>
    <t>HS Men-kg</t>
  </si>
  <si>
    <t>HS women-kg</t>
  </si>
  <si>
    <t>pasterow on Results sheet</t>
  </si>
  <si>
    <t>USAPL</t>
  </si>
  <si>
    <t>Data!M1:M51</t>
  </si>
  <si>
    <t>event flight 1st row (RowSort, StartSort)</t>
  </si>
  <si>
    <t>Endrow (RowSort, EndSort for SQ1 BP1 DL1)</t>
  </si>
  <si>
    <t>event flight last row (RowSort, EndSort)</t>
  </si>
  <si>
    <t>------------</t>
  </si>
  <si>
    <t>Kg</t>
  </si>
  <si>
    <t>video tutorial:  https://www.youtube.com/watch?v=o-PyI1n_EMI</t>
  </si>
  <si>
    <t>MemberID</t>
  </si>
  <si>
    <t>Name &amp;
Mbr #:</t>
  </si>
  <si>
    <t>pl</t>
  </si>
  <si>
    <t>lifter2-2</t>
  </si>
  <si>
    <t>lifter3-3</t>
  </si>
  <si>
    <t>lifter4-4</t>
  </si>
  <si>
    <t>lifter5-5</t>
  </si>
  <si>
    <t>11</t>
  </si>
  <si>
    <t>12</t>
  </si>
  <si>
    <t>13</t>
  </si>
  <si>
    <t>14</t>
  </si>
  <si>
    <t>10-8</t>
  </si>
  <si>
    <t>10-9</t>
  </si>
  <si>
    <t>10-10</t>
  </si>
  <si>
    <t>10-11</t>
  </si>
  <si>
    <t>DQ</t>
  </si>
  <si>
    <t>DT</t>
  </si>
  <si>
    <t>Drug Test</t>
  </si>
  <si>
    <t>Drug tested</t>
  </si>
  <si>
    <t>Time</t>
  </si>
  <si>
    <t>Record?</t>
  </si>
  <si>
    <t>Total?</t>
  </si>
  <si>
    <t>OOS</t>
  </si>
  <si>
    <t>Quick Reference Sheet</t>
  </si>
  <si>
    <r>
      <t>1.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Setup</t>
    </r>
    <r>
      <rPr>
        <sz val="10"/>
        <rFont val="Calibri"/>
        <family val="2"/>
      </rPr>
      <t xml:space="preserve"> sheet</t>
    </r>
  </si>
  <si>
    <r>
      <t>a.</t>
    </r>
    <r>
      <rPr>
        <b/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Reset for New Contest</t>
    </r>
  </si>
  <si>
    <r>
      <t>b.</t>
    </r>
    <r>
      <rPr>
        <b/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Contest Name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</si>
  <si>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Select type of meet from the drop down menu.</t>
    </r>
  </si>
  <si>
    <r>
      <t>e.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Enter Divisions – Abbreviation, Description, Placing code </t>
    </r>
  </si>
  <si>
    <r>
      <t>f.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Enter Teams &amp; Abbreviations</t>
    </r>
  </si>
  <si>
    <r>
      <t>g.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Enter Flights/Groups you will use in your contest</t>
    </r>
  </si>
  <si>
    <r>
      <t>h.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Select the weight of </t>
    </r>
    <r>
      <rPr>
        <b/>
        <sz val="10"/>
        <rFont val="Calibri"/>
        <family val="2"/>
      </rPr>
      <t>bar &amp; collars</t>
    </r>
  </si>
  <si>
    <r>
      <t>2.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Before the contest, insert your Contest logo into the </t>
    </r>
    <r>
      <rPr>
        <b/>
        <sz val="10"/>
        <rFont val="Calibri"/>
        <family val="2"/>
      </rPr>
      <t>Awards</t>
    </r>
    <r>
      <rPr>
        <sz val="10"/>
        <rFont val="Calibri"/>
        <family val="2"/>
      </rPr>
      <t xml:space="preserve"> sheet - change font, background and text colors.</t>
    </r>
  </si>
  <si>
    <r>
      <t>a.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If you copy/paste data into the </t>
    </r>
    <r>
      <rPr>
        <b/>
        <sz val="10"/>
        <rFont val="Calibri"/>
        <family val="2"/>
      </rPr>
      <t>Weigh-in</t>
    </r>
    <r>
      <rPr>
        <sz val="10"/>
        <rFont val="Calibri"/>
        <family val="2"/>
      </rPr>
      <t xml:space="preserve"> sheet, paste </t>
    </r>
    <r>
      <rPr>
        <b/>
        <u/>
        <sz val="10"/>
        <rFont val="Calibri"/>
        <family val="2"/>
      </rPr>
      <t>V</t>
    </r>
    <r>
      <rPr>
        <b/>
        <sz val="10"/>
        <rFont val="Calibri"/>
        <family val="2"/>
      </rPr>
      <t>alues</t>
    </r>
    <r>
      <rPr>
        <sz val="10"/>
        <rFont val="Calibri"/>
        <family val="2"/>
      </rPr>
      <t xml:space="preserve"> only to preserve formatting and validation.  </t>
    </r>
    <r>
      <rPr>
        <b/>
        <sz val="10"/>
        <color rgb="FFFF0000"/>
        <rFont val="Calibri"/>
        <family val="2"/>
      </rPr>
      <t>Red Text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indicates an error.</t>
    </r>
  </si>
  <si>
    <r>
      <t>b.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Print Speaker Cards</t>
    </r>
  </si>
  <si>
    <r>
      <t xml:space="preserve">                                                     </t>
    </r>
    <r>
      <rPr>
        <sz val="10"/>
        <rFont val="Calibri"/>
        <family val="2"/>
      </rPr>
      <t>i.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Click </t>
    </r>
    <r>
      <rPr>
        <b/>
        <sz val="10"/>
        <rFont val="Calibri"/>
        <family val="2"/>
      </rPr>
      <t>Print Cards</t>
    </r>
    <r>
      <rPr>
        <sz val="10"/>
        <rFont val="Calibri"/>
        <family val="2"/>
      </rPr>
      <t xml:space="preserve"> button on </t>
    </r>
    <r>
      <rPr>
        <b/>
        <sz val="10"/>
        <rFont val="Calibri"/>
        <family val="2"/>
      </rPr>
      <t>Weigh-in</t>
    </r>
    <r>
      <rPr>
        <sz val="10"/>
        <rFont val="Calibri"/>
        <family val="2"/>
      </rPr>
      <t xml:space="preserve"> sheet to print cards with data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</si>
  <si>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Do not leave blank rows between Lifters</t>
    </r>
  </si>
  <si>
    <r>
      <t>a.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Select the 1</t>
    </r>
    <r>
      <rPr>
        <vertAlign val="superscript"/>
        <sz val="10"/>
        <rFont val="Calibri"/>
        <family val="2"/>
      </rPr>
      <t>st</t>
    </r>
    <r>
      <rPr>
        <sz val="10"/>
        <rFont val="Calibri"/>
        <family val="2"/>
      </rPr>
      <t xml:space="preserve"> flight/group from the pulldown in cell </t>
    </r>
    <r>
      <rPr>
        <b/>
        <sz val="10"/>
        <rFont val="Calibri"/>
        <family val="2"/>
      </rPr>
      <t>A11</t>
    </r>
  </si>
  <si>
    <r>
      <t>b.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Select </t>
    </r>
    <r>
      <rPr>
        <b/>
        <sz val="10"/>
        <rFont val="Calibri"/>
        <family val="2"/>
      </rPr>
      <t>Squat 1</t>
    </r>
    <r>
      <rPr>
        <sz val="10"/>
        <rFont val="Calibri"/>
        <family val="2"/>
      </rPr>
      <t xml:space="preserve">, </t>
    </r>
    <r>
      <rPr>
        <b/>
        <sz val="10"/>
        <rFont val="Calibri"/>
        <family val="2"/>
      </rPr>
      <t>Benchpress 1</t>
    </r>
    <r>
      <rPr>
        <sz val="10"/>
        <rFont val="Calibri"/>
        <family val="2"/>
      </rPr>
      <t xml:space="preserve"> or </t>
    </r>
    <r>
      <rPr>
        <b/>
        <sz val="10"/>
        <rFont val="Calibri"/>
        <family val="2"/>
      </rPr>
      <t xml:space="preserve">Deadlift 1 </t>
    </r>
    <r>
      <rPr>
        <sz val="10"/>
        <rFont val="Calibri"/>
        <family val="2"/>
      </rPr>
      <t>from the pulldown</t>
    </r>
  </si>
  <si>
    <r>
      <t xml:space="preserve">                                                   </t>
    </r>
    <r>
      <rPr>
        <sz val="10"/>
        <rFont val="Calibri"/>
        <family val="2"/>
      </rPr>
      <t>ii.</t>
    </r>
    <r>
      <rPr>
        <sz val="7"/>
        <rFont val="Times New Roman"/>
        <family val="1"/>
      </rPr>
      <t xml:space="preserve">     </t>
    </r>
    <r>
      <rPr>
        <b/>
        <sz val="10"/>
        <color rgb="FF0000FF"/>
        <rFont val="Calibri"/>
        <family val="2"/>
      </rPr>
      <t>Delay</t>
    </r>
    <r>
      <rPr>
        <sz val="10"/>
        <rFont val="Calibri"/>
        <family val="2"/>
      </rPr>
      <t xml:space="preserve"> for livestreamed contests – then select a </t>
    </r>
    <r>
      <rPr>
        <b/>
        <sz val="10"/>
        <color rgb="FF0000FF"/>
        <rFont val="Calibri"/>
        <family val="2"/>
      </rPr>
      <t>Delay</t>
    </r>
    <r>
      <rPr>
        <sz val="10"/>
        <rFont val="Calibri"/>
        <family val="2"/>
      </rPr>
      <t xml:space="preserve"> time (2-5 seconds)</t>
    </r>
  </si>
  <si>
    <r>
      <t>e.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Use </t>
    </r>
    <r>
      <rPr>
        <b/>
        <sz val="10"/>
        <rFont val="Calibri"/>
        <family val="2"/>
      </rPr>
      <t>Ctrl + G</t>
    </r>
    <r>
      <rPr>
        <sz val="10"/>
        <rFont val="Calibri"/>
        <family val="2"/>
      </rPr>
      <t xml:space="preserve"> (good) or </t>
    </r>
    <r>
      <rPr>
        <b/>
        <sz val="10"/>
        <rFont val="Calibri"/>
        <family val="2"/>
      </rPr>
      <t>Ctrl + N</t>
    </r>
    <r>
      <rPr>
        <sz val="10"/>
        <rFont val="Calibri"/>
        <family val="2"/>
      </rPr>
      <t xml:space="preserve"> (no-lift) to go back and fix an incorrect entry</t>
    </r>
  </si>
  <si>
    <r>
      <t>f.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 xml:space="preserve">Add </t>
    </r>
    <r>
      <rPr>
        <b/>
        <sz val="10"/>
        <rFont val="Calibri"/>
        <family val="2"/>
      </rPr>
      <t>DQ</t>
    </r>
    <r>
      <rPr>
        <sz val="10"/>
        <rFont val="Calibri"/>
        <family val="2"/>
      </rPr>
      <t xml:space="preserve"> to </t>
    </r>
    <r>
      <rPr>
        <b/>
        <sz val="10"/>
        <rFont val="Calibri"/>
        <family val="2"/>
      </rPr>
      <t>Events Entered</t>
    </r>
    <r>
      <rPr>
        <sz val="10"/>
        <rFont val="Calibri"/>
        <family val="2"/>
      </rPr>
      <t xml:space="preserve"> column for disqualified lifters.  Add </t>
    </r>
    <r>
      <rPr>
        <b/>
        <sz val="10"/>
        <rFont val="Calibri"/>
        <family val="2"/>
      </rPr>
      <t>DT</t>
    </r>
    <r>
      <rPr>
        <sz val="10"/>
        <rFont val="Calibri"/>
        <family val="2"/>
      </rPr>
      <t xml:space="preserve"> to the events for a drug tested lifter.</t>
    </r>
  </si>
  <si>
    <r>
      <t>g.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Re-attempts</t>
    </r>
    <r>
      <rPr>
        <sz val="10"/>
        <rFont val="Calibri"/>
        <family val="2"/>
      </rPr>
      <t xml:space="preserve"> - type the weight in the cell when a re-attempt is granted</t>
    </r>
  </si>
  <si>
    <r>
      <t xml:space="preserve">                                                     </t>
    </r>
    <r>
      <rPr>
        <sz val="10"/>
        <rFont val="Calibri"/>
        <family val="2"/>
      </rPr>
      <t>i.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Use the dropdown menu in the name block (cell </t>
    </r>
    <r>
      <rPr>
        <b/>
        <sz val="10"/>
        <rFont val="Calibri"/>
        <family val="2"/>
      </rPr>
      <t>A1</t>
    </r>
    <r>
      <rPr>
        <sz val="10"/>
        <rFont val="Calibri"/>
        <family val="2"/>
      </rPr>
      <t xml:space="preserve">) to select a lifter for a re-attempt </t>
    </r>
  </si>
  <si>
    <r>
      <t>h.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Printouts</t>
    </r>
    <r>
      <rPr>
        <sz val="10"/>
        <rFont val="Calibri"/>
        <family val="2"/>
      </rPr>
      <t xml:space="preserve"> - Use the dropdown menu next to the printer icon to select the type of printout desired – click the printer icon to print</t>
    </r>
  </si>
  <si>
    <r>
      <t>3.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Weigh-in</t>
    </r>
    <r>
      <rPr>
        <sz val="10"/>
        <rFont val="Calibri"/>
        <family val="2"/>
      </rPr>
      <t xml:space="preserve"> sheet</t>
    </r>
  </si>
  <si>
    <r>
      <t>4.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Lifting</t>
    </r>
    <r>
      <rPr>
        <sz val="10"/>
        <rFont val="Calibri"/>
        <family val="2"/>
      </rPr>
      <t xml:space="preserve"> sheet</t>
    </r>
  </si>
  <si>
    <r>
      <t>5.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Awards</t>
    </r>
    <r>
      <rPr>
        <sz val="10"/>
        <rFont val="Calibri"/>
        <family val="2"/>
      </rPr>
      <t xml:space="preserve"> sheet.  Use the dropdown menu to select the awards to display (only the divisions, weight classes, and events actually used in the contest will be in the menu)</t>
    </r>
  </si>
  <si>
    <t>Birth Year</t>
  </si>
  <si>
    <t>IPF Points</t>
  </si>
  <si>
    <t>Age &amp; Points</t>
  </si>
  <si>
    <t>Abbrev</t>
  </si>
  <si>
    <t>Grp</t>
  </si>
  <si>
    <t>IPF Pts.</t>
  </si>
  <si>
    <t>FR-SJr</t>
  </si>
  <si>
    <t>Raw Women (14-18)</t>
  </si>
  <si>
    <t>FR-Jr</t>
  </si>
  <si>
    <t>Raw Women (19-23)</t>
  </si>
  <si>
    <t>FR-M1</t>
  </si>
  <si>
    <t>Raw Women (40-49)</t>
  </si>
  <si>
    <t>FR-M2</t>
  </si>
  <si>
    <t>Raw Women (50-59)</t>
  </si>
  <si>
    <t>FR-M3</t>
  </si>
  <si>
    <t>Raw Women (60-69)</t>
  </si>
  <si>
    <t>FR-M4</t>
  </si>
  <si>
    <t>Raw Women (70+)-</t>
  </si>
  <si>
    <t>MR-SJr</t>
  </si>
  <si>
    <t>Raw Men (14-18)</t>
  </si>
  <si>
    <t>MR-Jr</t>
  </si>
  <si>
    <t>Raw Men (19-23)</t>
  </si>
  <si>
    <t>MR-M1</t>
  </si>
  <si>
    <t>Raw Men (40-49)</t>
  </si>
  <si>
    <t>MR-M2</t>
  </si>
  <si>
    <t>Raw Men (50-59)</t>
  </si>
  <si>
    <t>MR-M3</t>
  </si>
  <si>
    <t>Raw Men (60-69)</t>
  </si>
  <si>
    <t>MR-M4</t>
  </si>
  <si>
    <t>Raw Men (70+)-</t>
  </si>
  <si>
    <t>F-SJr</t>
  </si>
  <si>
    <t xml:space="preserve"> Women (14 -18)</t>
  </si>
  <si>
    <t>F-Jr</t>
  </si>
  <si>
    <t xml:space="preserve"> Women (19 -23)</t>
  </si>
  <si>
    <t xml:space="preserve"> Women</t>
  </si>
  <si>
    <t>F-M1</t>
  </si>
  <si>
    <t xml:space="preserve"> Women (40 -49)</t>
  </si>
  <si>
    <t>F-M2</t>
  </si>
  <si>
    <t xml:space="preserve"> Women (50 -59)</t>
  </si>
  <si>
    <t>F-M3</t>
  </si>
  <si>
    <t xml:space="preserve"> Women (60 -69)</t>
  </si>
  <si>
    <t>F-M4</t>
  </si>
  <si>
    <t xml:space="preserve"> Women (70+) -</t>
  </si>
  <si>
    <t>M-SJr</t>
  </si>
  <si>
    <t xml:space="preserve"> Men (14 -18)</t>
  </si>
  <si>
    <t>M-Jr</t>
  </si>
  <si>
    <t xml:space="preserve"> Men (19 -23)</t>
  </si>
  <si>
    <t xml:space="preserve"> Men</t>
  </si>
  <si>
    <t>M-M1</t>
  </si>
  <si>
    <t xml:space="preserve"> Men (40 -49)</t>
  </si>
  <si>
    <t>M-M2</t>
  </si>
  <si>
    <t xml:space="preserve"> Men (50 -59)</t>
  </si>
  <si>
    <t>M-M3</t>
  </si>
  <si>
    <t xml:space="preserve"> Men (60 -69)</t>
  </si>
  <si>
    <t>M-M4</t>
  </si>
  <si>
    <t xml:space="preserve"> Men (70+) -</t>
  </si>
  <si>
    <t>F-</t>
  </si>
  <si>
    <t>WE</t>
  </si>
  <si>
    <t>FR</t>
  </si>
  <si>
    <t>WC</t>
  </si>
  <si>
    <t>M-</t>
  </si>
  <si>
    <t>MR</t>
  </si>
  <si>
    <t>MC</t>
  </si>
  <si>
    <t>IPF Pts Code</t>
  </si>
  <si>
    <t>Birth Year:</t>
  </si>
  <si>
    <t>Group:</t>
  </si>
  <si>
    <t>IPF Points:</t>
  </si>
  <si>
    <r>
      <t>d.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Use drop downs to enter the actual weights on the platform</t>
    </r>
  </si>
  <si>
    <r>
      <t xml:space="preserve">                                                   </t>
    </r>
    <r>
      <rPr>
        <sz val="10"/>
        <rFont val="Calibri"/>
        <family val="2"/>
      </rPr>
      <t>ii.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For blank cards, go to the </t>
    </r>
    <r>
      <rPr>
        <b/>
        <sz val="10"/>
        <rFont val="Calibri"/>
        <family val="2"/>
      </rPr>
      <t>SpeakersCard</t>
    </r>
    <r>
      <rPr>
        <sz val="10"/>
        <rFont val="Calibri"/>
        <family val="2"/>
      </rPr>
      <t xml:space="preserve"> sheet and click </t>
    </r>
    <r>
      <rPr>
        <b/>
        <sz val="10"/>
        <rFont val="Calibri"/>
        <family val="2"/>
      </rPr>
      <t>Print Blank Cards</t>
    </r>
  </si>
  <si>
    <r>
      <t>d.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Click the button at the top of the sheet to copy weighed-in athletes to the </t>
    </r>
    <r>
      <rPr>
        <b/>
        <sz val="10"/>
        <rFont val="Calibri"/>
        <family val="2"/>
      </rPr>
      <t>Lifting</t>
    </r>
    <r>
      <rPr>
        <sz val="10"/>
        <rFont val="Calibri"/>
        <family val="2"/>
      </rPr>
      <t xml:space="preserve"> sheet</t>
    </r>
  </si>
  <si>
    <r>
      <t xml:space="preserve">                                                  </t>
    </r>
    <r>
      <rPr>
        <sz val="10"/>
        <rFont val="Calibri"/>
        <family val="2"/>
      </rPr>
      <t>iii.</t>
    </r>
    <r>
      <rPr>
        <sz val="7"/>
        <rFont val="Times New Roman"/>
        <family val="1"/>
      </rPr>
      <t xml:space="preserve">     </t>
    </r>
    <r>
      <rPr>
        <b/>
        <sz val="10"/>
        <color rgb="FF0000FF"/>
        <rFont val="Calibri"/>
        <family val="2"/>
      </rPr>
      <t>Man</t>
    </r>
    <r>
      <rPr>
        <sz val="10"/>
        <rFont val="Calibri"/>
        <family val="2"/>
      </rPr>
      <t xml:space="preserve"> for manual advance during 3</t>
    </r>
    <r>
      <rPr>
        <vertAlign val="superscript"/>
        <sz val="10"/>
        <rFont val="Calibri"/>
        <family val="2"/>
      </rPr>
      <t>rd</t>
    </r>
    <r>
      <rPr>
        <sz val="10"/>
        <rFont val="Calibri"/>
        <family val="2"/>
      </rPr>
      <t xml:space="preserve"> attempts – then click </t>
    </r>
    <r>
      <rPr>
        <b/>
        <sz val="10"/>
        <color rgb="FF0000FF"/>
        <rFont val="Calibri"/>
        <family val="2"/>
      </rPr>
      <t xml:space="preserve">Next </t>
    </r>
    <r>
      <rPr>
        <sz val="10"/>
        <rFont val="Calibri"/>
        <family val="2"/>
      </rPr>
      <t>to advance to the next lifter</t>
    </r>
  </si>
  <si>
    <r>
      <t>i.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Select </t>
    </r>
    <r>
      <rPr>
        <b/>
        <sz val="10"/>
        <rFont val="Calibri"/>
        <family val="2"/>
      </rPr>
      <t>Sorted Results</t>
    </r>
    <r>
      <rPr>
        <sz val="10"/>
        <rFont val="Calibri"/>
        <family val="2"/>
      </rPr>
      <t xml:space="preserve"> at the end of the lifting session for a sorted printout (this step is necessary to load data for the</t>
    </r>
    <r>
      <rPr>
        <b/>
        <sz val="10"/>
        <rFont val="Calibri"/>
        <family val="2"/>
      </rPr>
      <t xml:space="preserve"> Awards</t>
    </r>
    <r>
      <rPr>
        <sz val="10"/>
        <rFont val="Calibri"/>
        <family val="2"/>
      </rPr>
      <t xml:space="preserve"> sheet.  Have the referees sign a printout of this sheet.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</si>
  <si>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 xml:space="preserve">Select the an option to advance to the next lifter - </t>
    </r>
    <r>
      <rPr>
        <b/>
        <sz val="10"/>
        <color rgb="FF0000FF"/>
        <rFont val="Calibri"/>
        <family val="2"/>
      </rPr>
      <t>Auto</t>
    </r>
    <r>
      <rPr>
        <sz val="10"/>
        <rFont val="Calibri"/>
        <family val="2"/>
      </rPr>
      <t>,</t>
    </r>
    <r>
      <rPr>
        <sz val="10"/>
        <color rgb="FF0000FF"/>
        <rFont val="Calibri"/>
        <family val="2"/>
      </rPr>
      <t xml:space="preserve"> </t>
    </r>
    <r>
      <rPr>
        <b/>
        <sz val="10"/>
        <color rgb="FF0000FF"/>
        <rFont val="Calibri"/>
        <family val="2"/>
      </rPr>
      <t>Delay,</t>
    </r>
    <r>
      <rPr>
        <sz val="10"/>
        <rFont val="Calibri"/>
        <family val="2"/>
      </rPr>
      <t xml:space="preserve"> </t>
    </r>
    <r>
      <rPr>
        <b/>
        <sz val="10"/>
        <color rgb="FF0000FF"/>
        <rFont val="Calibri"/>
        <family val="2"/>
      </rPr>
      <t>Man</t>
    </r>
  </si>
  <si>
    <r>
      <t xml:space="preserve">                                                     </t>
    </r>
    <r>
      <rPr>
        <sz val="10"/>
        <rFont val="Calibri"/>
        <family val="2"/>
      </rPr>
      <t>i.</t>
    </r>
    <r>
      <rPr>
        <sz val="7"/>
        <rFont val="Times New Roman"/>
        <family val="1"/>
      </rPr>
      <t xml:space="preserve">     </t>
    </r>
    <r>
      <rPr>
        <b/>
        <sz val="10"/>
        <color rgb="FF0000FF"/>
        <rFont val="Calibri"/>
        <family val="2"/>
      </rPr>
      <t>Auto</t>
    </r>
    <r>
      <rPr>
        <sz val="10"/>
        <rFont val="Calibri"/>
        <family val="2"/>
      </rPr>
      <t xml:space="preserve"> to advance without delay after a Good or NoLift</t>
    </r>
  </si>
  <si>
    <r>
      <t>d.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Click</t>
    </r>
    <r>
      <rPr>
        <sz val="10"/>
        <color rgb="FF00B050"/>
        <rFont val="Calibri"/>
        <family val="2"/>
      </rPr>
      <t xml:space="preserve"> </t>
    </r>
    <r>
      <rPr>
        <b/>
        <sz val="10"/>
        <color rgb="FF00B050"/>
        <rFont val="Calibri"/>
        <family val="2"/>
      </rPr>
      <t>Good</t>
    </r>
    <r>
      <rPr>
        <sz val="10"/>
        <rFont val="Calibri"/>
        <family val="2"/>
      </rPr>
      <t xml:space="preserve"> or </t>
    </r>
    <r>
      <rPr>
        <b/>
        <strike/>
        <sz val="10"/>
        <color rgb="FFFF0000"/>
        <rFont val="Calibri"/>
        <family val="2"/>
      </rPr>
      <t>NoLift</t>
    </r>
  </si>
  <si>
    <t>F-O-U</t>
  </si>
  <si>
    <t>F-M1-U</t>
  </si>
  <si>
    <t>F-M2-U</t>
  </si>
  <si>
    <t>F-M3-U</t>
  </si>
  <si>
    <t>F-M4-U</t>
  </si>
  <si>
    <t>M-O-U</t>
  </si>
  <si>
    <t>M-M1-U</t>
  </si>
  <si>
    <t>M-M2-U</t>
  </si>
  <si>
    <t>M-M3-U</t>
  </si>
  <si>
    <t>M-M4-U</t>
  </si>
  <si>
    <t>Women (14 -18)</t>
  </si>
  <si>
    <t>Women (19 -23)</t>
  </si>
  <si>
    <t>Women (40 -49)</t>
  </si>
  <si>
    <t>Women (50 -59)</t>
  </si>
  <si>
    <t>Women (60 -69)</t>
  </si>
  <si>
    <t>Women (70+) -</t>
  </si>
  <si>
    <t>M-SJR</t>
  </si>
  <si>
    <t>Men (14 -18)</t>
  </si>
  <si>
    <t>Men (19 -23)</t>
  </si>
  <si>
    <t>Men (40 -49)</t>
  </si>
  <si>
    <t>Men (50 -59)</t>
  </si>
  <si>
    <t>Men (60 -69)</t>
  </si>
  <si>
    <t>Men (70+) -</t>
  </si>
  <si>
    <t>M-SJR-U</t>
    <phoneticPr fontId="72"/>
  </si>
  <si>
    <t>F-SJR-U</t>
    <phoneticPr fontId="72"/>
  </si>
  <si>
    <t>F-SJR</t>
    <phoneticPr fontId="72"/>
  </si>
  <si>
    <t>F-JR-U</t>
    <phoneticPr fontId="72"/>
  </si>
  <si>
    <t>M-JR-U</t>
    <phoneticPr fontId="72"/>
  </si>
  <si>
    <t>F-JR</t>
    <phoneticPr fontId="72"/>
  </si>
  <si>
    <t>F-P</t>
    <phoneticPr fontId="72"/>
  </si>
  <si>
    <t>M-P-U</t>
    <phoneticPr fontId="72"/>
  </si>
  <si>
    <t>M-P</t>
    <phoneticPr fontId="72"/>
  </si>
  <si>
    <t>F-P-U</t>
    <phoneticPr fontId="72"/>
  </si>
  <si>
    <t>Raw Men</t>
    <phoneticPr fontId="72"/>
  </si>
  <si>
    <t>-</t>
  </si>
  <si>
    <t xml:space="preserve"> </t>
  </si>
  <si>
    <t>　第２１回兵庫県ベンチプレス選手権</t>
    <rPh sb="1" eb="2">
      <t>ダイ</t>
    </rPh>
    <rPh sb="4" eb="5">
      <t>カイ</t>
    </rPh>
    <rPh sb="5" eb="8">
      <t>ヒョウゴケン</t>
    </rPh>
    <rPh sb="14" eb="17">
      <t>センシュケン</t>
    </rPh>
    <phoneticPr fontId="72"/>
  </si>
  <si>
    <t>セクション</t>
    <phoneticPr fontId="72"/>
  </si>
  <si>
    <t>№</t>
    <phoneticPr fontId="72"/>
  </si>
  <si>
    <t>種別</t>
    <rPh sb="0" eb="2">
      <t>シュベツ</t>
    </rPh>
    <phoneticPr fontId="72"/>
  </si>
  <si>
    <t>階級</t>
    <rPh sb="0" eb="2">
      <t>カイキュウ</t>
    </rPh>
    <phoneticPr fontId="72"/>
  </si>
  <si>
    <t>カテゴリー</t>
    <phoneticPr fontId="72"/>
  </si>
  <si>
    <t>選手名</t>
    <rPh sb="0" eb="3">
      <t>センシュメイ</t>
    </rPh>
    <phoneticPr fontId="72"/>
  </si>
  <si>
    <t>年齢</t>
    <rPh sb="0" eb="2">
      <t>ネンレイ</t>
    </rPh>
    <phoneticPr fontId="72"/>
  </si>
  <si>
    <t>都道府県</t>
    <rPh sb="0" eb="4">
      <t>トドウフケン</t>
    </rPh>
    <phoneticPr fontId="72"/>
  </si>
  <si>
    <t>所属</t>
    <rPh sb="0" eb="2">
      <t>ショゾク</t>
    </rPh>
    <phoneticPr fontId="72"/>
  </si>
  <si>
    <t>第１セッション　検量　７：３０－９：００　　　試技開始　９：３０</t>
    <rPh sb="0" eb="1">
      <t>ダイ</t>
    </rPh>
    <rPh sb="8" eb="10">
      <t>ケンリョウ</t>
    </rPh>
    <rPh sb="23" eb="25">
      <t>シギ</t>
    </rPh>
    <rPh sb="25" eb="27">
      <t>カイシ</t>
    </rPh>
    <phoneticPr fontId="72"/>
  </si>
  <si>
    <t>フルギア</t>
  </si>
  <si>
    <t>63㎏級</t>
  </si>
  <si>
    <t>県外</t>
    <rPh sb="0" eb="2">
      <t>ケンガイ</t>
    </rPh>
    <phoneticPr fontId="76"/>
  </si>
  <si>
    <t>山下 彩</t>
  </si>
  <si>
    <t>大阪府</t>
  </si>
  <si>
    <t>8suki gym</t>
  </si>
  <si>
    <t>72㎏級</t>
  </si>
  <si>
    <t>高岡 美穂</t>
  </si>
  <si>
    <t>53㎏級</t>
  </si>
  <si>
    <t>酒井 維吹</t>
  </si>
  <si>
    <t>59㎏級</t>
  </si>
  <si>
    <t>野口 貴史</t>
  </si>
  <si>
    <t>66㎏級</t>
  </si>
  <si>
    <t>吉村 雄一</t>
  </si>
  <si>
    <t>8sukigym</t>
  </si>
  <si>
    <t>74㎏級</t>
  </si>
  <si>
    <t>安倉 明徳</t>
  </si>
  <si>
    <t>烈剛河内</t>
  </si>
  <si>
    <t>久保田 甲斐</t>
  </si>
  <si>
    <t>松尾 静葵</t>
  </si>
  <si>
    <t>後藤 隆</t>
  </si>
  <si>
    <t>83㎏級</t>
  </si>
  <si>
    <t>阪本 賢一</t>
  </si>
  <si>
    <t>菅原 大輔</t>
  </si>
  <si>
    <t>8sukiGYM</t>
  </si>
  <si>
    <t>93㎏級</t>
  </si>
  <si>
    <t>植野 哲</t>
  </si>
  <si>
    <t>塚村 英夫</t>
  </si>
  <si>
    <t>山本 僚介</t>
  </si>
  <si>
    <t>上田 真司</t>
  </si>
  <si>
    <t>Ks GYM</t>
    <phoneticPr fontId="82"/>
  </si>
  <si>
    <t>西田 貴胤</t>
  </si>
  <si>
    <t>山下 保樹</t>
  </si>
  <si>
    <t>105㎏級</t>
  </si>
  <si>
    <t>岩本 隆全</t>
  </si>
  <si>
    <t>第２セッション　検量　１６：４５－１８：１５　　　試技開始　１８：４５</t>
    <rPh sb="0" eb="1">
      <t>ダイ</t>
    </rPh>
    <rPh sb="8" eb="10">
      <t>ケンリョウ</t>
    </rPh>
    <rPh sb="25" eb="27">
      <t>シギ</t>
    </rPh>
    <rPh sb="27" eb="29">
      <t>カイシ</t>
    </rPh>
    <phoneticPr fontId="72"/>
  </si>
  <si>
    <t>ノーギア</t>
  </si>
  <si>
    <t>52㎏級</t>
  </si>
  <si>
    <t>中川 貴美子</t>
  </si>
  <si>
    <t>伊藤 由実子</t>
  </si>
  <si>
    <t>Ks GYM</t>
  </si>
  <si>
    <t>一般</t>
    <phoneticPr fontId="82"/>
  </si>
  <si>
    <t>丸山 武</t>
  </si>
  <si>
    <t>兵庫県</t>
  </si>
  <si>
    <t>個人</t>
  </si>
  <si>
    <t>一般</t>
  </si>
  <si>
    <t>立脇 和弥</t>
  </si>
  <si>
    <t>小脇 剛</t>
  </si>
  <si>
    <t>三菱日立パワーシステムズ</t>
  </si>
  <si>
    <t>Ｍ２</t>
  </si>
  <si>
    <t>松尾 直樹</t>
  </si>
  <si>
    <t>藤本ジム</t>
  </si>
  <si>
    <t>三木 聖也</t>
  </si>
  <si>
    <t>山本 泰資</t>
  </si>
  <si>
    <t>鉄腕加西</t>
  </si>
  <si>
    <t>大西 康平</t>
  </si>
  <si>
    <t>佐藤 啓</t>
  </si>
  <si>
    <t>大寺 康平</t>
  </si>
  <si>
    <t>芳村 晃</t>
  </si>
  <si>
    <t>ヤスキジム</t>
  </si>
  <si>
    <t>瀧井 章男</t>
  </si>
  <si>
    <t>吉岡 弘和</t>
  </si>
  <si>
    <t>田口 航大</t>
  </si>
  <si>
    <t>阪南大学ウエイトトレーニング部</t>
  </si>
  <si>
    <t>光安 隆史</t>
  </si>
  <si>
    <t>石田 浩士</t>
  </si>
  <si>
    <t>フジモトジム</t>
  </si>
  <si>
    <t>堀 滋</t>
  </si>
  <si>
    <t>個人選手</t>
  </si>
  <si>
    <t>坂東 太郎</t>
  </si>
  <si>
    <t>山本 高史</t>
  </si>
  <si>
    <t>三菱重工業高砂製作所</t>
  </si>
  <si>
    <t>谷 茂樹</t>
  </si>
  <si>
    <t>チーム鉄腕</t>
  </si>
  <si>
    <t>松岡 徹</t>
  </si>
  <si>
    <t>WTC藤井寺</t>
  </si>
  <si>
    <t>出合 翔</t>
  </si>
  <si>
    <t>若崎 晃裕</t>
  </si>
  <si>
    <t>乾 欣正</t>
  </si>
  <si>
    <t>高松 克哉</t>
  </si>
  <si>
    <t>臼木 翔吾</t>
  </si>
  <si>
    <t>ＪＲ</t>
  </si>
  <si>
    <t>木之下 竜也</t>
  </si>
  <si>
    <t>Ｍ３</t>
  </si>
  <si>
    <t>前田 光生</t>
  </si>
  <si>
    <t>中澤 禎郁</t>
  </si>
  <si>
    <t>8suki ジム</t>
  </si>
  <si>
    <t>斉藤 大明</t>
  </si>
  <si>
    <t>豊島 泰弘</t>
  </si>
  <si>
    <t>野口 昌利</t>
  </si>
  <si>
    <t>試技終了予定　２０：３０</t>
    <rPh sb="0" eb="2">
      <t>シギ</t>
    </rPh>
    <rPh sb="2" eb="4">
      <t>シュウリョウ</t>
    </rPh>
    <rPh sb="4" eb="6">
      <t>ヨテイ</t>
    </rPh>
    <phoneticPr fontId="72"/>
  </si>
  <si>
    <t>試技終了し、賞状発行して受領しましたらご帰宅お願いします。</t>
    <rPh sb="0" eb="2">
      <t>シギ</t>
    </rPh>
    <rPh sb="2" eb="4">
      <t>シュウリョウ</t>
    </rPh>
    <rPh sb="6" eb="8">
      <t>ショウジョウ</t>
    </rPh>
    <rPh sb="8" eb="10">
      <t>ハッコウ</t>
    </rPh>
    <rPh sb="12" eb="14">
      <t>ジュリョウ</t>
    </rPh>
    <rPh sb="20" eb="22">
      <t>キタク</t>
    </rPh>
    <rPh sb="23" eb="24">
      <t>ネガ</t>
    </rPh>
    <phoneticPr fontId="82"/>
  </si>
  <si>
    <t>団体A</t>
    <rPh sb="0" eb="2">
      <t>ダンタイ</t>
    </rPh>
    <phoneticPr fontId="72"/>
  </si>
  <si>
    <t>団体B</t>
    <rPh sb="0" eb="2">
      <t>ダンタイ</t>
    </rPh>
    <phoneticPr fontId="72"/>
  </si>
  <si>
    <t>次の選手</t>
    <rPh sb="0" eb="1">
      <t>ツギ</t>
    </rPh>
    <rPh sb="2" eb="4">
      <t>センシュ</t>
    </rPh>
    <phoneticPr fontId="72"/>
  </si>
  <si>
    <t>重量</t>
    <phoneticPr fontId="72"/>
  </si>
  <si>
    <t>氏名</t>
    <rPh sb="0" eb="2">
      <t>シメイ</t>
    </rPh>
    <phoneticPr fontId="72"/>
  </si>
  <si>
    <t>Rack</t>
    <phoneticPr fontId="72"/>
  </si>
  <si>
    <t>Good</t>
    <phoneticPr fontId="72"/>
  </si>
  <si>
    <t>グループ</t>
    <phoneticPr fontId="72"/>
  </si>
  <si>
    <t>選手名</t>
    <rPh sb="0" eb="3">
      <t>センシュメイ</t>
    </rPh>
    <phoneticPr fontId="72"/>
  </si>
  <si>
    <t>検量体重</t>
  </si>
  <si>
    <t>検量体重</t>
    <rPh sb="0" eb="2">
      <t>ケンリョウ</t>
    </rPh>
    <rPh sb="2" eb="4">
      <t>タイジュウ</t>
    </rPh>
    <phoneticPr fontId="72"/>
  </si>
  <si>
    <t>生年</t>
    <rPh sb="0" eb="2">
      <t>セイネン</t>
    </rPh>
    <phoneticPr fontId="72"/>
  </si>
  <si>
    <t>選択して　　ＰＬ</t>
    <rPh sb="0" eb="2">
      <t>センタク</t>
    </rPh>
    <phoneticPr fontId="72"/>
  </si>
  <si>
    <t>PLを必ず入れる</t>
    <rPh sb="3" eb="4">
      <t>カナラ</t>
    </rPh>
    <rPh sb="5" eb="6">
      <t>イ</t>
    </rPh>
    <phoneticPr fontId="72"/>
  </si>
  <si>
    <r>
      <t>F</t>
    </r>
    <r>
      <rPr>
        <sz val="10"/>
        <rFont val="ＭＳ Ｐゴシック"/>
        <family val="3"/>
        <charset val="128"/>
      </rPr>
      <t>が女子　　　Ｍが男子　　　　</t>
    </r>
    <r>
      <rPr>
        <sz val="10"/>
        <rFont val="Arial"/>
        <family val="2"/>
      </rPr>
      <t>-U</t>
    </r>
    <r>
      <rPr>
        <sz val="10"/>
        <rFont val="ＭＳ Ｐゴシック"/>
        <family val="3"/>
        <charset val="128"/>
      </rPr>
      <t>がクラシック</t>
    </r>
    <rPh sb="2" eb="4">
      <t>ジョシ</t>
    </rPh>
    <rPh sb="9" eb="11">
      <t>ダンシ</t>
    </rPh>
    <phoneticPr fontId="72"/>
  </si>
  <si>
    <r>
      <t>O</t>
    </r>
    <r>
      <rPr>
        <sz val="10"/>
        <rFont val="ＭＳ Ｐゴシック"/>
        <family val="3"/>
        <charset val="128"/>
      </rPr>
      <t>が一般　　Ｐがオープン</t>
    </r>
    <rPh sb="2" eb="4">
      <t>イッパン</t>
    </rPh>
    <phoneticPr fontId="72"/>
  </si>
  <si>
    <t>Cls</t>
  </si>
  <si>
    <t>Men (40 -49) 3-Lift 59-kg cls</t>
  </si>
  <si>
    <t>都道府県と団体名の間に、半角スペース</t>
    <rPh sb="0" eb="4">
      <t>トドウフケン</t>
    </rPh>
    <rPh sb="5" eb="7">
      <t>ダンタイ</t>
    </rPh>
    <rPh sb="7" eb="8">
      <t>メイ</t>
    </rPh>
    <rPh sb="9" eb="10">
      <t>アイダ</t>
    </rPh>
    <rPh sb="12" eb="14">
      <t>ハンカク</t>
    </rPh>
    <phoneticPr fontId="72"/>
  </si>
  <si>
    <t>都道府県 団体名</t>
    <rPh sb="0" eb="4">
      <t>トドウフケン</t>
    </rPh>
    <rPh sb="5" eb="7">
      <t>ダンタイ</t>
    </rPh>
    <rPh sb="7" eb="8">
      <t>メイ</t>
    </rPh>
    <phoneticPr fontId="72"/>
  </si>
  <si>
    <t>香西　邦子</t>
  </si>
  <si>
    <t>駒井　雅美</t>
  </si>
  <si>
    <t>南澤　さより</t>
  </si>
  <si>
    <t>佐津　彩</t>
  </si>
  <si>
    <t>川端　友巳</t>
  </si>
  <si>
    <t>矢田　和砂</t>
  </si>
  <si>
    <t>山下　彩</t>
  </si>
  <si>
    <t>植野　有紀子</t>
  </si>
  <si>
    <t>平松　久直</t>
  </si>
  <si>
    <t>福岡　雅則</t>
  </si>
  <si>
    <t>菅田　勇作</t>
  </si>
  <si>
    <t>藤川　慶二</t>
  </si>
  <si>
    <t>山本　了祐</t>
  </si>
  <si>
    <t>吉田　夏樹</t>
  </si>
  <si>
    <t>三木　浩史</t>
  </si>
  <si>
    <t>山本　太郎</t>
  </si>
  <si>
    <t>金岡　国昭</t>
  </si>
  <si>
    <t>平山　蓮</t>
  </si>
  <si>
    <t>川本　稔人</t>
  </si>
  <si>
    <t>能城　静香</t>
  </si>
  <si>
    <t>千原 竜一</t>
  </si>
  <si>
    <t>渡邉 将慶</t>
  </si>
  <si>
    <t>高橋 雅之</t>
  </si>
  <si>
    <t>谷口 晃一</t>
  </si>
  <si>
    <t>鈴木 豪</t>
  </si>
  <si>
    <t>草間 伸司</t>
  </si>
  <si>
    <t>大石 圭太朗</t>
  </si>
  <si>
    <t>伊藤 順三</t>
  </si>
  <si>
    <t>北野 利雄</t>
  </si>
  <si>
    <t>八須 拳太郎</t>
  </si>
  <si>
    <t>山本 航平</t>
  </si>
  <si>
    <t>鈴木 真人</t>
  </si>
  <si>
    <t>香西 和義</t>
  </si>
  <si>
    <t>阿久津 貴史</t>
  </si>
  <si>
    <t>久保 匡平</t>
  </si>
  <si>
    <t>福島 和文</t>
  </si>
  <si>
    <t>古川 潤</t>
  </si>
  <si>
    <t>堀内 健司</t>
  </si>
  <si>
    <t>宮川 資門</t>
  </si>
  <si>
    <t>手崎 勝夫</t>
  </si>
  <si>
    <t>柴田 道郎</t>
  </si>
  <si>
    <t xml:space="preserve"> 8i</t>
    <phoneticPr fontId="72"/>
  </si>
  <si>
    <t>大澤　充</t>
  </si>
  <si>
    <t>濱田 展行(M2)</t>
  </si>
  <si>
    <t>藤本 章夫</t>
  </si>
  <si>
    <t>後藤　優誠</t>
  </si>
  <si>
    <t>塩田 宗廣(M1)</t>
  </si>
  <si>
    <t>加瀬　智</t>
  </si>
  <si>
    <t>西川 亜紀子</t>
  </si>
  <si>
    <t>岩本 幸子</t>
  </si>
  <si>
    <t>阪口 愛莉</t>
  </si>
  <si>
    <t>佐藤 恵二</t>
  </si>
  <si>
    <t>餅野 法善</t>
  </si>
  <si>
    <t>高崎 将</t>
  </si>
  <si>
    <t>内藤 誠哉</t>
  </si>
  <si>
    <t>亀谷 充男</t>
  </si>
  <si>
    <t>岩崎 大祐</t>
  </si>
  <si>
    <t>平岡 史也</t>
  </si>
  <si>
    <t>山本 雄一郎</t>
  </si>
  <si>
    <t>川浦 幸次</t>
  </si>
  <si>
    <t>堂井 真</t>
  </si>
  <si>
    <t>高橋 磨</t>
  </si>
  <si>
    <t>古川 公一</t>
  </si>
  <si>
    <t>山森 天翔</t>
  </si>
  <si>
    <t>北村 織陽</t>
  </si>
  <si>
    <t>藤原 大樹</t>
  </si>
  <si>
    <t>藤濱 優希</t>
  </si>
  <si>
    <t>吉永 洋章</t>
  </si>
  <si>
    <t>川邊礼子</t>
  </si>
  <si>
    <t>前川　知紀</t>
  </si>
  <si>
    <t>村田　侑司</t>
  </si>
  <si>
    <t>大島　逸生</t>
  </si>
  <si>
    <t>中垣　雄一朗</t>
  </si>
  <si>
    <t>山田　航也</t>
  </si>
  <si>
    <t>森田　俊介</t>
  </si>
  <si>
    <t>濱崎　修武</t>
  </si>
  <si>
    <t>新福　佳樹</t>
  </si>
  <si>
    <t>新田　昌和</t>
  </si>
  <si>
    <t>荒木　友輔</t>
  </si>
  <si>
    <t>森　拓也</t>
  </si>
  <si>
    <t>野口　昌利</t>
  </si>
  <si>
    <t>田中　彰子</t>
  </si>
  <si>
    <t>繁田　俊也</t>
  </si>
  <si>
    <t>平井　敏雄</t>
  </si>
  <si>
    <t>松井　淳也</t>
  </si>
  <si>
    <t>FCP</t>
  </si>
  <si>
    <t>MCP</t>
  </si>
  <si>
    <t>PL Total</t>
    <phoneticPr fontId="72"/>
  </si>
  <si>
    <t>Current Status</t>
    <phoneticPr fontId="72"/>
  </si>
  <si>
    <t>M-CL-PL</t>
  </si>
  <si>
    <t>Male Classic 3-Lift</t>
  </si>
  <si>
    <t>M-CL-BP</t>
  </si>
  <si>
    <t>Male Classic Bench</t>
  </si>
  <si>
    <t>M-EQ-PL</t>
  </si>
  <si>
    <t>Male Equipped 3-Lift</t>
  </si>
  <si>
    <t>M-EQ-BP</t>
  </si>
  <si>
    <t>Male Equipped Bench</t>
  </si>
  <si>
    <t>F-CL-PL</t>
  </si>
  <si>
    <t>Female Classic 3-Lift</t>
  </si>
  <si>
    <t>F-CL-BP</t>
  </si>
  <si>
    <t>Female Classic Bench</t>
  </si>
  <si>
    <t>F-EQ-PL</t>
  </si>
  <si>
    <t>Female Equipped 3-Lift</t>
  </si>
  <si>
    <t>F-EQ-BP</t>
  </si>
  <si>
    <t>Female Equipped Bench</t>
  </si>
  <si>
    <t>MCB</t>
  </si>
  <si>
    <t>MEP</t>
  </si>
  <si>
    <t>MEB</t>
  </si>
  <si>
    <t>FCB</t>
  </si>
  <si>
    <t>FEP</t>
  </si>
  <si>
    <t>FEB</t>
  </si>
  <si>
    <t>IPF GL Formula</t>
    <phoneticPr fontId="72"/>
  </si>
  <si>
    <t>Reference Values</t>
    <phoneticPr fontId="72"/>
  </si>
  <si>
    <t>IPF GL Coeff.</t>
  </si>
  <si>
    <t>三宅 栄子</t>
  </si>
  <si>
    <t>宮部 要子</t>
  </si>
  <si>
    <t>M-P-U</t>
  </si>
  <si>
    <t>大前 秀暢</t>
  </si>
  <si>
    <t>M-JR-U</t>
  </si>
  <si>
    <t>中垣 雄一朗</t>
  </si>
  <si>
    <t>谷川 亮</t>
  </si>
  <si>
    <t>花田 隆</t>
  </si>
  <si>
    <t>中藤 友樹</t>
  </si>
  <si>
    <t>宮崎 智司</t>
  </si>
  <si>
    <t>坂井 宏輔</t>
  </si>
  <si>
    <t>小山 瑛一</t>
  </si>
  <si>
    <t>細見 邑</t>
  </si>
  <si>
    <t>田畑 勇輝</t>
  </si>
  <si>
    <t>竪林 大悟</t>
  </si>
  <si>
    <t>南 伸哉</t>
  </si>
  <si>
    <t>瀬川 拓己</t>
  </si>
  <si>
    <t>歯朶尾 浩行</t>
  </si>
  <si>
    <t>遠山 勝登</t>
  </si>
  <si>
    <t>松井 淳也</t>
  </si>
  <si>
    <t>渡邉 新</t>
  </si>
  <si>
    <t>陣内 秀聡</t>
  </si>
  <si>
    <t>金山 尚治</t>
  </si>
  <si>
    <t>藤本　章夫</t>
  </si>
  <si>
    <t>上山　利紀</t>
  </si>
  <si>
    <t>大野　賢良</t>
  </si>
  <si>
    <t>山元 雄二</t>
  </si>
  <si>
    <t>on</t>
    <phoneticPr fontId="72"/>
  </si>
  <si>
    <t>必ず3行目から入力</t>
    <rPh sb="0" eb="1">
      <t>カナラ</t>
    </rPh>
    <rPh sb="3" eb="5">
      <t>ギョウメ</t>
    </rPh>
    <rPh sb="7" eb="9">
      <t>ニュウリョク</t>
    </rPh>
    <phoneticPr fontId="72"/>
  </si>
  <si>
    <t>石原綾大</t>
  </si>
  <si>
    <t>渡辺将慶</t>
  </si>
  <si>
    <t>山田洋平</t>
  </si>
  <si>
    <t>望月星那　</t>
  </si>
  <si>
    <t>小坂真司</t>
  </si>
  <si>
    <t>法橋顕広</t>
  </si>
  <si>
    <t>Squat 1</t>
    <phoneticPr fontId="72"/>
  </si>
  <si>
    <t>C</t>
    <phoneticPr fontId="72"/>
  </si>
  <si>
    <t>D</t>
    <phoneticPr fontId="72"/>
  </si>
  <si>
    <t>廣田拓真</t>
    <phoneticPr fontId="72"/>
  </si>
  <si>
    <t>第113回関東学生パワーリフティング選手権大会</t>
    <rPh sb="0" eb="1">
      <t>ダイ</t>
    </rPh>
    <rPh sb="4" eb="5">
      <t>カイ</t>
    </rPh>
    <rPh sb="5" eb="9">
      <t>カントウガクセイ</t>
    </rPh>
    <rPh sb="18" eb="21">
      <t>センシュケン</t>
    </rPh>
    <rPh sb="21" eb="23">
      <t>タイカイ</t>
    </rPh>
    <phoneticPr fontId="72"/>
  </si>
  <si>
    <t>2022/11/26-27</t>
    <phoneticPr fontId="72"/>
  </si>
  <si>
    <t>伊藤弘祐</t>
  </si>
  <si>
    <t>伊藤優吾</t>
  </si>
  <si>
    <t>佐藤俊</t>
  </si>
  <si>
    <t>浦野治拓</t>
  </si>
  <si>
    <t>小倉甲陽</t>
  </si>
  <si>
    <t>白石綾磨</t>
  </si>
  <si>
    <t>仙波樹</t>
  </si>
  <si>
    <t>谷中大二</t>
  </si>
  <si>
    <t>鶴海光貴</t>
  </si>
  <si>
    <t>深沢康太</t>
  </si>
  <si>
    <t>若林恭佑</t>
  </si>
  <si>
    <t>濱北晃太朗</t>
  </si>
  <si>
    <t>山本俊和</t>
  </si>
  <si>
    <t>松井晴輝</t>
  </si>
  <si>
    <t>𠮷成萌陽</t>
  </si>
  <si>
    <t>猪瀬英一郎</t>
  </si>
  <si>
    <t>横田寛介</t>
  </si>
  <si>
    <t>石井芳輝</t>
  </si>
  <si>
    <t>関口公平</t>
  </si>
  <si>
    <t>渡邉勇仁</t>
  </si>
  <si>
    <t>了徳寺大学</t>
  </si>
  <si>
    <t>青山学院大学</t>
  </si>
  <si>
    <t>埼玉大学</t>
  </si>
  <si>
    <t>東京大学</t>
  </si>
  <si>
    <t>国際武道大学</t>
  </si>
  <si>
    <t>東京農業大学</t>
  </si>
  <si>
    <t>神奈川大学</t>
  </si>
  <si>
    <t>日本体育大学</t>
  </si>
  <si>
    <t>学習院大学</t>
  </si>
  <si>
    <t>早稲田大学</t>
  </si>
  <si>
    <t>10</t>
  </si>
  <si>
    <t>6</t>
  </si>
  <si>
    <t>8</t>
  </si>
  <si>
    <t>16</t>
  </si>
  <si>
    <t>SQ　　ラック</t>
    <phoneticPr fontId="72"/>
  </si>
  <si>
    <t>BP 　ラック</t>
    <phoneticPr fontId="72"/>
  </si>
  <si>
    <t>7</t>
  </si>
  <si>
    <t>17</t>
  </si>
  <si>
    <t>15</t>
  </si>
  <si>
    <t>9</t>
  </si>
  <si>
    <t>９</t>
  </si>
  <si>
    <t>Grp A</t>
  </si>
  <si>
    <t>74</t>
  </si>
  <si>
    <t>第113回関東学生パワーリフティング選手権大会</t>
    <phoneticPr fontId="72"/>
  </si>
  <si>
    <t>関口公平</t>
    <phoneticPr fontId="72"/>
  </si>
  <si>
    <t>渡邉勇仁</t>
    <phoneticPr fontId="72"/>
  </si>
  <si>
    <t>Deadlift 3</t>
    <phoneticPr fontId="72"/>
  </si>
  <si>
    <t>A</t>
    <phoneticPr fontId="72"/>
  </si>
  <si>
    <t>浦野治拓</t>
    <phoneticPr fontId="7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</si>
</sst>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_(&quot;$&quot;* #,##0.00_);_(&quot;$&quot;* \(#,##0.00\);_(&quot;$&quot;* &quot;-&quot;??_);_(@_)"/>
    <numFmt numFmtId="177" formatCode="0.0"/>
    <numFmt numFmtId="178" formatCode="0.00;[Red]0.00"/>
    <numFmt numFmtId="179" formatCode="0.000000"/>
    <numFmt numFmtId="180" formatCode="mm/dd/yy;@"/>
    <numFmt numFmtId="181" formatCode="h:mm:ss;@"/>
    <numFmt numFmtId="182" formatCode="m/d/yy;@"/>
    <numFmt numFmtId="183" formatCode="00.0"/>
    <numFmt numFmtId="184" formatCode="0.0000"/>
    <numFmt numFmtId="185" formatCode="0.000"/>
    <numFmt numFmtId="186" formatCode="[$-409]d\-mmm\-yy;@"/>
    <numFmt numFmtId="187" formatCode="General;[Red]General;General"/>
  </numFmts>
  <fonts count="103" x14ac:knownFonts="1"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20"/>
      <color indexed="8"/>
      <name val="Arial"/>
      <family val="2"/>
    </font>
    <font>
      <b/>
      <sz val="18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2"/>
      <color theme="0"/>
      <name val="Arial"/>
      <family val="2"/>
    </font>
    <font>
      <sz val="10"/>
      <color theme="4" tint="-0.249977111117893"/>
      <name val="Arial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sz val="12"/>
      <color theme="0" tint="-0.14999847407452621"/>
      <name val="Arial"/>
      <family val="2"/>
    </font>
    <font>
      <b/>
      <strike/>
      <sz val="12"/>
      <color rgb="FFFF0000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color theme="2" tint="-9.9978637043366805E-2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0" tint="-0.1499984740745262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Calibri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4"/>
      <color rgb="FF365F91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vertAlign val="superscript"/>
      <sz val="10"/>
      <name val="Calibri"/>
      <family val="2"/>
    </font>
    <font>
      <b/>
      <sz val="10"/>
      <color rgb="FF0000FF"/>
      <name val="Calibri"/>
      <family val="2"/>
    </font>
    <font>
      <b/>
      <strike/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22"/>
      <name val="Arial Black"/>
      <family val="2"/>
    </font>
    <font>
      <sz val="10"/>
      <color rgb="FF0000FF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rgb="FF3F3F7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2"/>
      <color indexed="8"/>
      <name val="Arial"/>
      <family val="2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Arial"/>
      <family val="2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Arial Black"/>
      <family val="2"/>
    </font>
    <font>
      <sz val="48"/>
      <name val="Arial Black"/>
      <family val="2"/>
    </font>
    <font>
      <sz val="26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theme="8" tint="-0.249977111117893"/>
      <name val="ＭＳ Ｐゴシック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ＭＳ Ｐゴシック"/>
      <family val="3"/>
      <charset val="128"/>
    </font>
    <font>
      <b/>
      <sz val="18"/>
      <name val="Arial"/>
      <family val="3"/>
      <charset val="128"/>
    </font>
    <font>
      <sz val="10"/>
      <name val="ＭＳ Ｐゴシック"/>
      <family val="2"/>
      <charset val="128"/>
    </font>
    <font>
      <b/>
      <sz val="6"/>
      <name val="HGS明朝B"/>
      <family val="1"/>
      <charset val="128"/>
    </font>
    <font>
      <b/>
      <sz val="10"/>
      <name val="HGS明朝B"/>
      <family val="1"/>
      <charset val="128"/>
    </font>
    <font>
      <b/>
      <sz val="10"/>
      <color theme="0"/>
      <name val="HGS明朝B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">
    <xf numFmtId="0" fontId="0" fillId="0" borderId="0"/>
    <xf numFmtId="0" fontId="3" fillId="0" borderId="0"/>
    <xf numFmtId="0" fontId="2" fillId="0" borderId="0"/>
    <xf numFmtId="176" fontId="4" fillId="0" borderId="0" applyFont="0" applyFill="0" applyBorder="0" applyAlignment="0" applyProtection="0"/>
    <xf numFmtId="0" fontId="23" fillId="0" borderId="0"/>
    <xf numFmtId="0" fontId="1" fillId="0" borderId="0"/>
    <xf numFmtId="0" fontId="34" fillId="0" borderId="0"/>
    <xf numFmtId="0" fontId="35" fillId="0" borderId="0"/>
    <xf numFmtId="0" fontId="36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6" fillId="0" borderId="0"/>
    <xf numFmtId="0" fontId="50" fillId="0" borderId="0"/>
    <xf numFmtId="0" fontId="52" fillId="0" borderId="0"/>
    <xf numFmtId="0" fontId="53" fillId="0" borderId="0"/>
    <xf numFmtId="0" fontId="54" fillId="0" borderId="0"/>
    <xf numFmtId="0" fontId="67" fillId="0" borderId="0"/>
    <xf numFmtId="0" fontId="74" fillId="0" borderId="0">
      <alignment vertical="center"/>
    </xf>
    <xf numFmtId="0" fontId="12" fillId="0" borderId="0"/>
  </cellStyleXfs>
  <cellXfs count="486">
    <xf numFmtId="0" fontId="0" fillId="0" borderId="0" xfId="0"/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9" fillId="4" borderId="1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center"/>
    </xf>
    <xf numFmtId="179" fontId="0" fillId="0" borderId="0" xfId="0" applyNumberFormat="1"/>
    <xf numFmtId="49" fontId="0" fillId="0" borderId="0" xfId="0" applyNumberFormat="1"/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7" fillId="10" borderId="2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0" xfId="0" applyAlignment="1">
      <alignment horizontal="right"/>
    </xf>
    <xf numFmtId="17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12" borderId="27" xfId="0" applyFont="1" applyFill="1" applyBorder="1" applyAlignment="1">
      <alignment horizontal="center" vertical="center" wrapText="1"/>
    </xf>
    <xf numFmtId="49" fontId="7" fillId="12" borderId="27" xfId="0" applyNumberFormat="1" applyFont="1" applyFill="1" applyBorder="1" applyAlignment="1">
      <alignment horizontal="center" vertical="center" wrapText="1"/>
    </xf>
    <xf numFmtId="179" fontId="7" fillId="12" borderId="27" xfId="0" applyNumberFormat="1" applyFont="1" applyFill="1" applyBorder="1" applyAlignment="1">
      <alignment horizontal="center" vertical="center" wrapText="1"/>
    </xf>
    <xf numFmtId="0" fontId="18" fillId="12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181" fontId="0" fillId="0" borderId="0" xfId="0" applyNumberFormat="1"/>
    <xf numFmtId="0" fontId="24" fillId="0" borderId="0" xfId="4" applyFont="1"/>
    <xf numFmtId="0" fontId="5" fillId="0" borderId="0" xfId="0" applyFont="1" applyAlignment="1">
      <alignment horizontal="left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81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77" fontId="21" fillId="0" borderId="0" xfId="0" applyNumberFormat="1" applyFont="1" applyAlignment="1">
      <alignment horizontal="center" wrapText="1"/>
    </xf>
    <xf numFmtId="177" fontId="0" fillId="0" borderId="1" xfId="0" applyNumberFormat="1" applyBorder="1" applyAlignment="1">
      <alignment horizontal="center" wrapText="1"/>
    </xf>
    <xf numFmtId="2" fontId="21" fillId="0" borderId="0" xfId="0" applyNumberFormat="1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shrinkToFit="1"/>
    </xf>
    <xf numFmtId="2" fontId="7" fillId="12" borderId="27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6" fillId="0" borderId="0" xfId="0" applyFont="1"/>
    <xf numFmtId="49" fontId="16" fillId="0" borderId="0" xfId="0" applyNumberFormat="1" applyFont="1"/>
    <xf numFmtId="179" fontId="16" fillId="0" borderId="0" xfId="0" applyNumberFormat="1" applyFont="1"/>
    <xf numFmtId="2" fontId="16" fillId="0" borderId="0" xfId="0" applyNumberFormat="1" applyFont="1"/>
    <xf numFmtId="181" fontId="16" fillId="0" borderId="0" xfId="0" applyNumberFormat="1" applyFont="1"/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0" applyFont="1"/>
    <xf numFmtId="181" fontId="28" fillId="12" borderId="27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left"/>
    </xf>
    <xf numFmtId="0" fontId="7" fillId="11" borderId="27" xfId="0" applyFont="1" applyFill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179" fontId="15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181" fontId="15" fillId="0" borderId="5" xfId="0" applyNumberFormat="1" applyFont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 wrapText="1"/>
    </xf>
    <xf numFmtId="0" fontId="32" fillId="12" borderId="27" xfId="0" applyFont="1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179" fontId="0" fillId="17" borderId="0" xfId="0" applyNumberFormat="1" applyFill="1"/>
    <xf numFmtId="0" fontId="0" fillId="17" borderId="0" xfId="0" applyFill="1"/>
    <xf numFmtId="179" fontId="16" fillId="17" borderId="0" xfId="0" applyNumberFormat="1" applyFont="1" applyFill="1"/>
    <xf numFmtId="0" fontId="16" fillId="17" borderId="0" xfId="0" applyFont="1" applyFill="1"/>
    <xf numFmtId="179" fontId="7" fillId="17" borderId="27" xfId="0" applyNumberFormat="1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179" fontId="15" fillId="17" borderId="5" xfId="0" applyNumberFormat="1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/>
    </xf>
    <xf numFmtId="0" fontId="7" fillId="0" borderId="0" xfId="0" applyFont="1"/>
    <xf numFmtId="1" fontId="7" fillId="12" borderId="27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17" fillId="10" borderId="32" xfId="0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38" fillId="0" borderId="0" xfId="9" applyAlignment="1">
      <alignment horizontal="center"/>
    </xf>
    <xf numFmtId="0" fontId="34" fillId="0" borderId="0" xfId="9" applyFont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26" fillId="11" borderId="1" xfId="0" applyFont="1" applyFill="1" applyBorder="1"/>
    <xf numFmtId="0" fontId="26" fillId="0" borderId="1" xfId="0" applyFont="1" applyBorder="1"/>
    <xf numFmtId="0" fontId="7" fillId="0" borderId="1" xfId="0" applyFont="1" applyBorder="1" applyAlignment="1">
      <alignment horizontal="center"/>
    </xf>
    <xf numFmtId="180" fontId="0" fillId="0" borderId="0" xfId="0" applyNumberFormat="1"/>
    <xf numFmtId="1" fontId="0" fillId="0" borderId="0" xfId="0" applyNumberFormat="1"/>
    <xf numFmtId="1" fontId="16" fillId="0" borderId="0" xfId="0" applyNumberFormat="1" applyFont="1"/>
    <xf numFmtId="1" fontId="15" fillId="0" borderId="5" xfId="0" applyNumberFormat="1" applyFont="1" applyBorder="1" applyAlignment="1" applyProtection="1">
      <alignment horizontal="center" vertical="center"/>
      <protection locked="0"/>
    </xf>
    <xf numFmtId="1" fontId="37" fillId="0" borderId="0" xfId="0" applyNumberFormat="1" applyFont="1" applyAlignment="1">
      <alignment horizontal="center"/>
    </xf>
    <xf numFmtId="180" fontId="0" fillId="0" borderId="1" xfId="0" applyNumberFormat="1" applyBorder="1" applyAlignment="1">
      <alignment horizontal="center" wrapText="1"/>
    </xf>
    <xf numFmtId="14" fontId="0" fillId="17" borderId="0" xfId="0" applyNumberFormat="1" applyFill="1"/>
    <xf numFmtId="0" fontId="7" fillId="2" borderId="40" xfId="0" applyFont="1" applyFill="1" applyBorder="1" applyAlignment="1" applyProtection="1">
      <alignment vertical="center" wrapText="1"/>
      <protection locked="0"/>
    </xf>
    <xf numFmtId="0" fontId="7" fillId="2" borderId="32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43" fillId="0" borderId="44" xfId="4" applyFont="1" applyBorder="1" applyAlignment="1">
      <alignment horizontal="center" vertical="center" wrapText="1"/>
    </xf>
    <xf numFmtId="0" fontId="22" fillId="0" borderId="0" xfId="4" applyFont="1"/>
    <xf numFmtId="0" fontId="27" fillId="0" borderId="45" xfId="3" applyNumberFormat="1" applyFont="1" applyBorder="1" applyAlignment="1">
      <alignment horizontal="center" vertical="center"/>
    </xf>
    <xf numFmtId="180" fontId="27" fillId="0" borderId="17" xfId="4" applyNumberFormat="1" applyFont="1" applyBorder="1" applyAlignment="1">
      <alignment horizontal="center" vertical="center" shrinkToFit="1"/>
    </xf>
    <xf numFmtId="0" fontId="27" fillId="0" borderId="45" xfId="4" applyFont="1" applyBorder="1" applyAlignment="1">
      <alignment horizontal="center" vertical="center" wrapText="1"/>
    </xf>
    <xf numFmtId="0" fontId="44" fillId="0" borderId="40" xfId="4" applyFont="1" applyBorder="1" applyAlignment="1">
      <alignment horizontal="center" vertical="center" wrapText="1"/>
    </xf>
    <xf numFmtId="0" fontId="43" fillId="0" borderId="17" xfId="4" applyFont="1" applyBorder="1" applyAlignment="1">
      <alignment vertical="center" wrapText="1"/>
    </xf>
    <xf numFmtId="0" fontId="43" fillId="0" borderId="53" xfId="4" applyFont="1" applyBorder="1" applyAlignment="1">
      <alignment vertical="center" wrapText="1"/>
    </xf>
    <xf numFmtId="0" fontId="44" fillId="0" borderId="19" xfId="4" applyFont="1" applyBorder="1" applyAlignment="1">
      <alignment horizontal="center" vertical="center"/>
    </xf>
    <xf numFmtId="0" fontId="22" fillId="0" borderId="31" xfId="4" applyFont="1" applyBorder="1" applyAlignment="1">
      <alignment vertical="center"/>
    </xf>
    <xf numFmtId="0" fontId="22" fillId="0" borderId="19" xfId="4" applyFont="1" applyBorder="1" applyAlignment="1">
      <alignment vertical="center"/>
    </xf>
    <xf numFmtId="0" fontId="22" fillId="0" borderId="14" xfId="4" applyFont="1" applyBorder="1" applyAlignment="1">
      <alignment vertical="center"/>
    </xf>
    <xf numFmtId="0" fontId="44" fillId="0" borderId="31" xfId="4" applyFont="1" applyBorder="1" applyAlignment="1">
      <alignment horizontal="center" vertical="center"/>
    </xf>
    <xf numFmtId="0" fontId="22" fillId="0" borderId="39" xfId="4" applyFont="1" applyBorder="1" applyAlignment="1">
      <alignment vertical="center"/>
    </xf>
    <xf numFmtId="0" fontId="22" fillId="0" borderId="47" xfId="4" applyFont="1" applyBorder="1" applyAlignment="1">
      <alignment vertical="center"/>
    </xf>
    <xf numFmtId="0" fontId="43" fillId="12" borderId="40" xfId="4" applyFont="1" applyFill="1" applyBorder="1" applyAlignment="1">
      <alignment vertical="center"/>
    </xf>
    <xf numFmtId="0" fontId="43" fillId="12" borderId="17" xfId="4" applyFont="1" applyFill="1" applyBorder="1" applyAlignment="1">
      <alignment vertical="center"/>
    </xf>
    <xf numFmtId="0" fontId="22" fillId="0" borderId="1" xfId="4" applyFont="1" applyBorder="1" applyAlignment="1">
      <alignment vertical="center"/>
    </xf>
    <xf numFmtId="0" fontId="43" fillId="0" borderId="14" xfId="4" applyFont="1" applyBorder="1" applyAlignment="1">
      <alignment vertical="center"/>
    </xf>
    <xf numFmtId="0" fontId="44" fillId="0" borderId="54" xfId="4" applyFont="1" applyBorder="1" applyAlignment="1">
      <alignment horizontal="center" vertical="center"/>
    </xf>
    <xf numFmtId="0" fontId="43" fillId="0" borderId="54" xfId="4" applyFont="1" applyBorder="1" applyAlignment="1">
      <alignment vertical="center"/>
    </xf>
    <xf numFmtId="0" fontId="43" fillId="0" borderId="19" xfId="4" applyFont="1" applyBorder="1" applyAlignment="1">
      <alignment vertical="center"/>
    </xf>
    <xf numFmtId="0" fontId="43" fillId="0" borderId="47" xfId="4" applyFont="1" applyBorder="1" applyAlignment="1">
      <alignment vertical="center"/>
    </xf>
    <xf numFmtId="0" fontId="22" fillId="0" borderId="27" xfId="4" applyFont="1" applyBorder="1"/>
    <xf numFmtId="0" fontId="43" fillId="0" borderId="28" xfId="4" applyFont="1" applyBorder="1" applyAlignment="1">
      <alignment horizontal="center" vertical="center"/>
    </xf>
    <xf numFmtId="0" fontId="47" fillId="0" borderId="40" xfId="0" applyFont="1" applyBorder="1" applyAlignment="1">
      <alignment vertical="center" shrinkToFit="1"/>
    </xf>
    <xf numFmtId="0" fontId="27" fillId="0" borderId="17" xfId="4" applyFont="1" applyBorder="1" applyAlignment="1">
      <alignment horizontal="center" vertical="center" shrinkToFit="1"/>
    </xf>
    <xf numFmtId="0" fontId="51" fillId="0" borderId="16" xfId="4" applyFont="1" applyBorder="1" applyAlignment="1">
      <alignment vertical="center" wrapText="1"/>
    </xf>
    <xf numFmtId="176" fontId="51" fillId="0" borderId="46" xfId="3" applyFont="1" applyBorder="1" applyAlignment="1">
      <alignment horizontal="center" vertical="center" wrapText="1"/>
    </xf>
    <xf numFmtId="0" fontId="51" fillId="0" borderId="39" xfId="4" applyFont="1" applyBorder="1" applyAlignment="1">
      <alignment horizontal="center" vertical="center" wrapText="1"/>
    </xf>
    <xf numFmtId="0" fontId="51" fillId="0" borderId="39" xfId="4" applyFont="1" applyBorder="1" applyAlignment="1">
      <alignment vertical="center" wrapText="1"/>
    </xf>
    <xf numFmtId="0" fontId="51" fillId="0" borderId="52" xfId="4" applyFont="1" applyBorder="1" applyAlignment="1">
      <alignment horizontal="center" vertical="center"/>
    </xf>
    <xf numFmtId="0" fontId="51" fillId="0" borderId="54" xfId="4" applyFont="1" applyBorder="1" applyAlignment="1">
      <alignment horizontal="center" vertical="center" wrapText="1"/>
    </xf>
    <xf numFmtId="0" fontId="51" fillId="0" borderId="5" xfId="4" applyFont="1" applyBorder="1" applyAlignment="1">
      <alignment horizontal="center" vertical="center" wrapText="1"/>
    </xf>
    <xf numFmtId="0" fontId="51" fillId="0" borderId="10" xfId="4" applyFont="1" applyBorder="1" applyAlignment="1">
      <alignment horizontal="center" vertical="center"/>
    </xf>
    <xf numFmtId="0" fontId="51" fillId="0" borderId="29" xfId="4" applyFont="1" applyBorder="1" applyAlignment="1">
      <alignment horizontal="center" vertical="center"/>
    </xf>
    <xf numFmtId="0" fontId="51" fillId="0" borderId="18" xfId="4" applyFont="1" applyBorder="1" applyAlignment="1">
      <alignment horizontal="center" vertical="center" wrapText="1"/>
    </xf>
    <xf numFmtId="0" fontId="51" fillId="0" borderId="55" xfId="4" applyFont="1" applyBorder="1" applyAlignment="1">
      <alignment vertical="center"/>
    </xf>
    <xf numFmtId="0" fontId="51" fillId="0" borderId="51" xfId="4" applyFont="1" applyBorder="1" applyAlignment="1">
      <alignment horizontal="right" vertical="center"/>
    </xf>
    <xf numFmtId="0" fontId="0" fillId="0" borderId="44" xfId="0" applyBorder="1"/>
    <xf numFmtId="0" fontId="0" fillId="0" borderId="45" xfId="0" applyBorder="1"/>
    <xf numFmtId="177" fontId="16" fillId="0" borderId="25" xfId="0" applyNumberFormat="1" applyFont="1" applyBorder="1" applyAlignment="1">
      <alignment horizontal="right" vertical="center" shrinkToFit="1"/>
    </xf>
    <xf numFmtId="0" fontId="15" fillId="0" borderId="61" xfId="0" applyFont="1" applyBorder="1" applyAlignment="1">
      <alignment horizontal="left" vertical="center" wrapText="1"/>
    </xf>
    <xf numFmtId="0" fontId="0" fillId="0" borderId="5" xfId="0" applyBorder="1"/>
    <xf numFmtId="0" fontId="0" fillId="0" borderId="5" xfId="0" applyBorder="1" applyAlignment="1">
      <alignment shrinkToFi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2" xfId="0" applyBorder="1"/>
    <xf numFmtId="0" fontId="16" fillId="9" borderId="63" xfId="0" applyFont="1" applyFill="1" applyBorder="1" applyAlignment="1" applyProtection="1">
      <alignment horizontal="center" vertical="center"/>
      <protection locked="0"/>
    </xf>
    <xf numFmtId="0" fontId="6" fillId="14" borderId="63" xfId="0" applyFont="1" applyFill="1" applyBorder="1" applyAlignment="1">
      <alignment horizontal="center" vertical="center"/>
    </xf>
    <xf numFmtId="0" fontId="30" fillId="15" borderId="63" xfId="0" applyFont="1" applyFill="1" applyBorder="1" applyAlignment="1">
      <alignment horizontal="center" vertical="center"/>
    </xf>
    <xf numFmtId="0" fontId="25" fillId="13" borderId="63" xfId="0" applyFont="1" applyFill="1" applyBorder="1" applyAlignment="1">
      <alignment horizontal="center" vertical="center"/>
    </xf>
    <xf numFmtId="0" fontId="27" fillId="0" borderId="64" xfId="0" applyFont="1" applyBorder="1" applyAlignment="1" applyProtection="1">
      <alignment horizontal="center" vertical="center"/>
      <protection locked="0"/>
    </xf>
    <xf numFmtId="182" fontId="21" fillId="0" borderId="0" xfId="0" applyNumberFormat="1" applyFont="1" applyAlignment="1">
      <alignment horizontal="center" wrapText="1"/>
    </xf>
    <xf numFmtId="183" fontId="0" fillId="0" borderId="1" xfId="0" applyNumberFormat="1" applyBorder="1" applyAlignment="1">
      <alignment horizontal="center" wrapText="1"/>
    </xf>
    <xf numFmtId="0" fontId="0" fillId="0" borderId="0" xfId="0" quotePrefix="1"/>
    <xf numFmtId="0" fontId="0" fillId="11" borderId="0" xfId="0" applyFill="1"/>
    <xf numFmtId="0" fontId="0" fillId="11" borderId="0" xfId="0" applyFill="1" applyAlignment="1">
      <alignment horizontal="center"/>
    </xf>
    <xf numFmtId="0" fontId="15" fillId="12" borderId="5" xfId="0" applyFont="1" applyFill="1" applyBorder="1" applyAlignment="1">
      <alignment horizontal="center" vertical="center" shrinkToFit="1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31" fillId="0" borderId="1" xfId="0" applyFont="1" applyBorder="1" applyAlignment="1" applyProtection="1">
      <alignment horizontal="center" vertical="center" shrinkToFit="1"/>
      <protection locked="0"/>
    </xf>
    <xf numFmtId="0" fontId="11" fillId="12" borderId="27" xfId="0" applyFont="1" applyFill="1" applyBorder="1" applyAlignment="1">
      <alignment horizontal="center" vertical="center" wrapText="1"/>
    </xf>
    <xf numFmtId="19" fontId="0" fillId="0" borderId="0" xfId="0" applyNumberFormat="1" applyAlignment="1">
      <alignment horizontal="center"/>
    </xf>
    <xf numFmtId="0" fontId="56" fillId="0" borderId="0" xfId="0" applyFont="1" applyAlignment="1">
      <alignment horizontal="left" vertical="center" indent="12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indent="4"/>
    </xf>
    <xf numFmtId="0" fontId="60" fillId="0" borderId="0" xfId="0" applyFont="1" applyAlignment="1">
      <alignment horizontal="left" vertical="center" indent="8"/>
    </xf>
    <xf numFmtId="0" fontId="59" fillId="0" borderId="0" xfId="0" applyFont="1" applyAlignment="1">
      <alignment horizontal="left" vertical="center" indent="8"/>
    </xf>
    <xf numFmtId="0" fontId="29" fillId="0" borderId="23" xfId="0" applyFont="1" applyBorder="1" applyAlignment="1" applyProtection="1">
      <alignment horizontal="center" vertical="center"/>
      <protection locked="0"/>
    </xf>
    <xf numFmtId="20" fontId="0" fillId="0" borderId="0" xfId="0" applyNumberFormat="1"/>
    <xf numFmtId="0" fontId="67" fillId="0" borderId="0" xfId="19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15" fillId="0" borderId="5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/>
    </xf>
    <xf numFmtId="1" fontId="7" fillId="2" borderId="32" xfId="0" applyNumberFormat="1" applyFont="1" applyFill="1" applyBorder="1" applyAlignment="1">
      <alignment horizontal="center" vertical="center" wrapText="1"/>
    </xf>
    <xf numFmtId="184" fontId="7" fillId="12" borderId="27" xfId="0" applyNumberFormat="1" applyFont="1" applyFill="1" applyBorder="1" applyAlignment="1">
      <alignment horizontal="center" vertical="center" wrapText="1"/>
    </xf>
    <xf numFmtId="184" fontId="15" fillId="0" borderId="5" xfId="0" applyNumberFormat="1" applyFont="1" applyBorder="1" applyAlignment="1">
      <alignment horizontal="center" vertical="center" shrinkToFit="1"/>
    </xf>
    <xf numFmtId="185" fontId="0" fillId="0" borderId="0" xfId="0" applyNumberFormat="1"/>
    <xf numFmtId="185" fontId="16" fillId="0" borderId="0" xfId="0" applyNumberFormat="1" applyFont="1"/>
    <xf numFmtId="185" fontId="7" fillId="12" borderId="27" xfId="0" applyNumberFormat="1" applyFont="1" applyFill="1" applyBorder="1" applyAlignment="1">
      <alignment horizontal="center" vertical="center" wrapText="1"/>
    </xf>
    <xf numFmtId="185" fontId="15" fillId="12" borderId="5" xfId="0" applyNumberFormat="1" applyFont="1" applyFill="1" applyBorder="1" applyAlignment="1">
      <alignment horizontal="center" vertical="center" shrinkToFit="1"/>
    </xf>
    <xf numFmtId="0" fontId="16" fillId="0" borderId="66" xfId="0" applyFont="1" applyBorder="1"/>
    <xf numFmtId="186" fontId="0" fillId="11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left"/>
    </xf>
    <xf numFmtId="49" fontId="7" fillId="2" borderId="32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>
      <alignment horizontal="left" vertical="top"/>
    </xf>
    <xf numFmtId="177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77" fillId="0" borderId="6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7" fillId="0" borderId="6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0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8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81" fillId="0" borderId="1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81" fillId="0" borderId="72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84" fillId="12" borderId="27" xfId="0" applyFont="1" applyFill="1" applyBorder="1" applyAlignment="1">
      <alignment horizontal="center" vertical="center" wrapText="1"/>
    </xf>
    <xf numFmtId="0" fontId="7" fillId="12" borderId="51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4" fillId="12" borderId="5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82" fontId="0" fillId="0" borderId="0" xfId="0" applyNumberFormat="1" applyAlignment="1">
      <alignment horizontal="center" wrapText="1"/>
    </xf>
    <xf numFmtId="177" fontId="0" fillId="0" borderId="0" xfId="0" applyNumberFormat="1" applyAlignment="1">
      <alignment horizontal="center" wrapText="1"/>
    </xf>
    <xf numFmtId="187" fontId="85" fillId="14" borderId="1" xfId="0" applyNumberFormat="1" applyFont="1" applyFill="1" applyBorder="1" applyAlignment="1" applyProtection="1">
      <alignment horizontal="center" vertical="center" shrinkToFit="1"/>
      <protection locked="0"/>
    </xf>
    <xf numFmtId="187" fontId="30" fillId="15" borderId="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185" fontId="81" fillId="0" borderId="0" xfId="0" applyNumberFormat="1" applyFont="1" applyAlignment="1">
      <alignment horizontal="right"/>
    </xf>
    <xf numFmtId="185" fontId="86" fillId="0" borderId="0" xfId="0" applyNumberFormat="1" applyFont="1" applyAlignment="1">
      <alignment horizontal="left"/>
    </xf>
    <xf numFmtId="0" fontId="31" fillId="0" borderId="5" xfId="0" applyFont="1" applyBorder="1" applyAlignment="1">
      <alignment horizontal="center" vertical="center" shrinkToFit="1"/>
    </xf>
    <xf numFmtId="0" fontId="15" fillId="0" borderId="75" xfId="0" applyFont="1" applyBorder="1" applyAlignment="1" applyProtection="1">
      <alignment horizontal="center" vertical="center"/>
      <protection locked="0"/>
    </xf>
    <xf numFmtId="0" fontId="15" fillId="0" borderId="75" xfId="0" applyFont="1" applyBorder="1" applyAlignment="1" applyProtection="1">
      <alignment horizontal="left" vertical="center"/>
      <protection locked="0"/>
    </xf>
    <xf numFmtId="0" fontId="15" fillId="0" borderId="75" xfId="0" applyFont="1" applyBorder="1" applyAlignment="1" applyProtection="1">
      <alignment horizontal="center" vertical="center" shrinkToFit="1"/>
      <protection locked="0"/>
    </xf>
    <xf numFmtId="0" fontId="15" fillId="12" borderId="75" xfId="0" applyFont="1" applyFill="1" applyBorder="1" applyAlignment="1">
      <alignment horizontal="center" vertical="center" shrinkToFit="1"/>
    </xf>
    <xf numFmtId="1" fontId="15" fillId="0" borderId="75" xfId="0" applyNumberFormat="1" applyFont="1" applyBorder="1" applyAlignment="1">
      <alignment horizontal="center" vertical="center" shrinkToFit="1"/>
    </xf>
    <xf numFmtId="184" fontId="15" fillId="0" borderId="75" xfId="0" applyNumberFormat="1" applyFont="1" applyBorder="1" applyAlignment="1">
      <alignment horizontal="center" vertical="center" shrinkToFit="1"/>
    </xf>
    <xf numFmtId="49" fontId="15" fillId="0" borderId="75" xfId="0" applyNumberFormat="1" applyFont="1" applyBorder="1" applyAlignment="1" applyProtection="1">
      <alignment horizontal="center" vertical="center" shrinkToFit="1"/>
      <protection locked="0"/>
    </xf>
    <xf numFmtId="0" fontId="31" fillId="0" borderId="31" xfId="0" applyFont="1" applyBorder="1" applyAlignment="1" applyProtection="1">
      <alignment horizontal="center" vertical="center" shrinkToFit="1"/>
      <protection locked="0"/>
    </xf>
    <xf numFmtId="0" fontId="15" fillId="0" borderId="75" xfId="0" applyFont="1" applyBorder="1" applyAlignment="1">
      <alignment horizontal="center" vertical="center" shrinkToFit="1"/>
    </xf>
    <xf numFmtId="185" fontId="15" fillId="12" borderId="75" xfId="0" applyNumberFormat="1" applyFont="1" applyFill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/>
    </xf>
    <xf numFmtId="179" fontId="15" fillId="0" borderId="75" xfId="0" applyNumberFormat="1" applyFont="1" applyBorder="1" applyAlignment="1">
      <alignment horizontal="center" vertical="center"/>
    </xf>
    <xf numFmtId="179" fontId="15" fillId="17" borderId="75" xfId="0" applyNumberFormat="1" applyFont="1" applyFill="1" applyBorder="1" applyAlignment="1">
      <alignment horizontal="center" vertical="center"/>
    </xf>
    <xf numFmtId="0" fontId="15" fillId="17" borderId="75" xfId="0" applyFont="1" applyFill="1" applyBorder="1" applyAlignment="1">
      <alignment horizontal="center" vertical="center"/>
    </xf>
    <xf numFmtId="1" fontId="15" fillId="0" borderId="75" xfId="0" applyNumberFormat="1" applyFont="1" applyBorder="1" applyAlignment="1" applyProtection="1">
      <alignment horizontal="center" vertical="center"/>
      <protection locked="0"/>
    </xf>
    <xf numFmtId="2" fontId="15" fillId="0" borderId="75" xfId="0" applyNumberFormat="1" applyFont="1" applyBorder="1" applyAlignment="1">
      <alignment horizontal="center" vertical="center"/>
    </xf>
    <xf numFmtId="181" fontId="15" fillId="0" borderId="75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49" fillId="0" borderId="0" xfId="0" applyFont="1"/>
    <xf numFmtId="185" fontId="49" fillId="0" borderId="0" xfId="0" applyNumberFormat="1" applyFont="1"/>
    <xf numFmtId="185" fontId="87" fillId="0" borderId="0" xfId="0" applyNumberFormat="1" applyFont="1" applyAlignment="1">
      <alignment horizontal="right"/>
    </xf>
    <xf numFmtId="0" fontId="88" fillId="0" borderId="0" xfId="0" applyFont="1"/>
    <xf numFmtId="185" fontId="89" fillId="0" borderId="0" xfId="0" applyNumberFormat="1" applyFont="1" applyAlignment="1">
      <alignment horizontal="right"/>
    </xf>
    <xf numFmtId="185" fontId="90" fillId="0" borderId="0" xfId="0" applyNumberFormat="1" applyFont="1" applyAlignment="1">
      <alignment horizontal="left"/>
    </xf>
    <xf numFmtId="0" fontId="91" fillId="0" borderId="0" xfId="0" applyFont="1"/>
    <xf numFmtId="49" fontId="81" fillId="0" borderId="0" xfId="0" applyNumberFormat="1" applyFont="1" applyAlignment="1">
      <alignment horizontal="left"/>
    </xf>
    <xf numFmtId="0" fontId="81" fillId="0" borderId="0" xfId="0" applyFont="1" applyAlignment="1">
      <alignment horizontal="right"/>
    </xf>
    <xf numFmtId="0" fontId="0" fillId="0" borderId="0" xfId="0" applyAlignment="1">
      <alignment horizontal="left" wrapText="1" shrinkToFit="1"/>
    </xf>
    <xf numFmtId="1" fontId="0" fillId="0" borderId="38" xfId="0" applyNumberFormat="1" applyBorder="1" applyAlignment="1">
      <alignment vertical="center"/>
    </xf>
    <xf numFmtId="2" fontId="0" fillId="0" borderId="38" xfId="0" applyNumberFormat="1" applyBorder="1" applyAlignment="1">
      <alignment vertical="center"/>
    </xf>
    <xf numFmtId="0" fontId="16" fillId="0" borderId="0" xfId="0" applyFont="1" applyAlignment="1">
      <alignment horizontal="center"/>
    </xf>
    <xf numFmtId="177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19" borderId="0" xfId="0" applyFont="1" applyFill="1" applyAlignment="1">
      <alignment horizontal="center"/>
    </xf>
    <xf numFmtId="177" fontId="16" fillId="19" borderId="0" xfId="0" applyNumberFormat="1" applyFont="1" applyFill="1" applyAlignment="1">
      <alignment horizontal="center"/>
    </xf>
    <xf numFmtId="2" fontId="16" fillId="19" borderId="0" xfId="0" applyNumberFormat="1" applyFont="1" applyFill="1" applyAlignment="1">
      <alignment horizontal="center"/>
    </xf>
    <xf numFmtId="0" fontId="16" fillId="19" borderId="0" xfId="0" applyFont="1" applyFill="1"/>
    <xf numFmtId="0" fontId="16" fillId="20" borderId="0" xfId="0" applyFont="1" applyFill="1" applyAlignment="1">
      <alignment horizontal="center"/>
    </xf>
    <xf numFmtId="177" fontId="16" fillId="20" borderId="0" xfId="0" applyNumberFormat="1" applyFont="1" applyFill="1" applyAlignment="1">
      <alignment horizontal="center"/>
    </xf>
    <xf numFmtId="2" fontId="16" fillId="20" borderId="0" xfId="0" applyNumberFormat="1" applyFont="1" applyFill="1" applyAlignment="1">
      <alignment horizontal="center"/>
    </xf>
    <xf numFmtId="0" fontId="16" fillId="20" borderId="0" xfId="0" applyFont="1" applyFill="1"/>
    <xf numFmtId="0" fontId="16" fillId="21" borderId="0" xfId="0" applyFont="1" applyFill="1" applyAlignment="1">
      <alignment horizontal="center"/>
    </xf>
    <xf numFmtId="177" fontId="16" fillId="21" borderId="0" xfId="0" applyNumberFormat="1" applyFont="1" applyFill="1" applyAlignment="1">
      <alignment horizontal="center"/>
    </xf>
    <xf numFmtId="2" fontId="16" fillId="21" borderId="0" xfId="0" applyNumberFormat="1" applyFont="1" applyFill="1" applyAlignment="1">
      <alignment horizontal="center"/>
    </xf>
    <xf numFmtId="0" fontId="16" fillId="21" borderId="0" xfId="0" applyFont="1" applyFill="1"/>
    <xf numFmtId="0" fontId="7" fillId="22" borderId="27" xfId="0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horizontal="left" vertical="center"/>
    </xf>
    <xf numFmtId="0" fontId="7" fillId="12" borderId="31" xfId="0" applyFont="1" applyFill="1" applyBorder="1" applyAlignment="1">
      <alignment horizontal="center" vertical="center" wrapText="1"/>
    </xf>
    <xf numFmtId="0" fontId="7" fillId="22" borderId="31" xfId="0" applyFont="1" applyFill="1" applyBorder="1" applyAlignment="1">
      <alignment horizontal="center" vertical="center" wrapText="1"/>
    </xf>
    <xf numFmtId="2" fontId="7" fillId="22" borderId="31" xfId="0" applyNumberFormat="1" applyFont="1" applyFill="1" applyBorder="1" applyAlignment="1">
      <alignment horizontal="center" vertical="center" wrapText="1"/>
    </xf>
    <xf numFmtId="1" fontId="7" fillId="22" borderId="31" xfId="0" applyNumberFormat="1" applyFont="1" applyFill="1" applyBorder="1" applyAlignment="1">
      <alignment horizontal="center" vertical="center" wrapText="1"/>
    </xf>
    <xf numFmtId="182" fontId="7" fillId="22" borderId="31" xfId="0" applyNumberFormat="1" applyFont="1" applyFill="1" applyBorder="1" applyAlignment="1">
      <alignment horizontal="center" vertical="center" wrapText="1"/>
    </xf>
    <xf numFmtId="177" fontId="7" fillId="22" borderId="31" xfId="0" applyNumberFormat="1" applyFont="1" applyFill="1" applyBorder="1" applyAlignment="1">
      <alignment horizontal="center" vertical="center" wrapText="1"/>
    </xf>
    <xf numFmtId="0" fontId="15" fillId="0" borderId="77" xfId="0" applyFont="1" applyBorder="1" applyAlignment="1">
      <alignment horizontal="right" vertical="center" wrapText="1"/>
    </xf>
    <xf numFmtId="184" fontId="7" fillId="11" borderId="77" xfId="0" applyNumberFormat="1" applyFont="1" applyFill="1" applyBorder="1" applyAlignment="1">
      <alignment horizontal="center" vertical="center" wrapText="1"/>
    </xf>
    <xf numFmtId="0" fontId="94" fillId="11" borderId="77" xfId="21" applyFont="1" applyFill="1" applyBorder="1" applyAlignment="1">
      <alignment horizontal="center" vertical="center"/>
    </xf>
    <xf numFmtId="0" fontId="12" fillId="0" borderId="77" xfId="2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5" fontId="95" fillId="17" borderId="1" xfId="0" applyNumberFormat="1" applyFont="1" applyFill="1" applyBorder="1" applyAlignment="1">
      <alignment horizontal="center" vertical="center" wrapText="1"/>
    </xf>
    <xf numFmtId="179" fontId="15" fillId="12" borderId="5" xfId="0" applyNumberFormat="1" applyFont="1" applyFill="1" applyBorder="1" applyAlignment="1">
      <alignment horizontal="center" vertical="center" shrinkToFit="1"/>
    </xf>
    <xf numFmtId="179" fontId="15" fillId="0" borderId="0" xfId="0" applyNumberFormat="1" applyFont="1" applyAlignment="1">
      <alignment horizontal="center" vertical="center"/>
    </xf>
    <xf numFmtId="179" fontId="15" fillId="0" borderId="1" xfId="0" applyNumberFormat="1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1" fontId="97" fillId="0" borderId="0" xfId="0" applyNumberFormat="1" applyFont="1" applyAlignment="1">
      <alignment horizontal="left"/>
    </xf>
    <xf numFmtId="0" fontId="98" fillId="0" borderId="0" xfId="0" applyFont="1" applyAlignment="1">
      <alignment horizontal="left"/>
    </xf>
    <xf numFmtId="187" fontId="85" fillId="0" borderId="5" xfId="0" applyNumberFormat="1" applyFont="1" applyBorder="1" applyAlignment="1" applyProtection="1">
      <alignment horizontal="center" vertical="center" shrinkToFit="1"/>
      <protection locked="0"/>
    </xf>
    <xf numFmtId="187" fontId="85" fillId="0" borderId="1" xfId="0" applyNumberFormat="1" applyFont="1" applyBorder="1" applyAlignment="1" applyProtection="1">
      <alignment horizontal="center" vertical="center" shrinkToFit="1"/>
      <protection locked="0"/>
    </xf>
    <xf numFmtId="187" fontId="30" fillId="0" borderId="1" xfId="0" applyNumberFormat="1" applyFont="1" applyBorder="1" applyAlignment="1" applyProtection="1">
      <alignment horizontal="center" vertical="center" shrinkToFit="1"/>
      <protection locked="0"/>
    </xf>
    <xf numFmtId="187" fontId="30" fillId="0" borderId="5" xfId="0" applyNumberFormat="1" applyFont="1" applyBorder="1" applyAlignment="1" applyProtection="1">
      <alignment horizontal="center" vertical="center" shrinkToFit="1"/>
      <protection locked="0"/>
    </xf>
    <xf numFmtId="0" fontId="99" fillId="0" borderId="1" xfId="0" applyFont="1" applyBorder="1"/>
    <xf numFmtId="0" fontId="99" fillId="0" borderId="1" xfId="0" applyFont="1" applyBorder="1" applyAlignment="1">
      <alignment horizontal="left" vertical="top"/>
    </xf>
    <xf numFmtId="180" fontId="88" fillId="0" borderId="0" xfId="0" applyNumberFormat="1" applyFont="1" applyAlignment="1">
      <alignment horizontal="center" wrapText="1"/>
    </xf>
    <xf numFmtId="0" fontId="100" fillId="2" borderId="31" xfId="0" applyFont="1" applyFill="1" applyBorder="1" applyAlignment="1">
      <alignment horizontal="center" vertical="center" wrapText="1"/>
    </xf>
    <xf numFmtId="0" fontId="101" fillId="2" borderId="32" xfId="0" applyFont="1" applyFill="1" applyBorder="1" applyAlignment="1">
      <alignment horizontal="left" vertical="center"/>
    </xf>
    <xf numFmtId="0" fontId="101" fillId="2" borderId="32" xfId="0" applyFont="1" applyFill="1" applyBorder="1" applyAlignment="1">
      <alignment horizontal="center" vertical="center" wrapText="1"/>
    </xf>
    <xf numFmtId="49" fontId="101" fillId="2" borderId="32" xfId="0" applyNumberFormat="1" applyFont="1" applyFill="1" applyBorder="1" applyAlignment="1">
      <alignment horizontal="center" vertical="center" wrapText="1"/>
    </xf>
    <xf numFmtId="0" fontId="102" fillId="10" borderId="32" xfId="0" applyFont="1" applyFill="1" applyBorder="1" applyAlignment="1">
      <alignment horizontal="center" vertical="center"/>
    </xf>
    <xf numFmtId="0" fontId="101" fillId="2" borderId="32" xfId="0" applyFont="1" applyFill="1" applyBorder="1" applyAlignment="1">
      <alignment horizontal="center" vertical="center"/>
    </xf>
    <xf numFmtId="1" fontId="101" fillId="2" borderId="32" xfId="0" applyNumberFormat="1" applyFont="1" applyFill="1" applyBorder="1" applyAlignment="1">
      <alignment horizontal="center" vertical="center" wrapText="1"/>
    </xf>
    <xf numFmtId="0" fontId="101" fillId="2" borderId="1" xfId="0" applyFont="1" applyFill="1" applyBorder="1" applyAlignment="1">
      <alignment vertical="center" wrapText="1"/>
    </xf>
    <xf numFmtId="0" fontId="101" fillId="2" borderId="17" xfId="0" applyFont="1" applyFill="1" applyBorder="1" applyAlignment="1" applyProtection="1">
      <alignment horizontal="center" vertical="center" wrapText="1"/>
      <protection locked="0"/>
    </xf>
    <xf numFmtId="0" fontId="101" fillId="2" borderId="17" xfId="0" applyFont="1" applyFill="1" applyBorder="1" applyAlignment="1" applyProtection="1">
      <alignment vertical="center" wrapText="1"/>
      <protection locked="0"/>
    </xf>
    <xf numFmtId="0" fontId="101" fillId="2" borderId="40" xfId="0" applyFont="1" applyFill="1" applyBorder="1" applyAlignment="1" applyProtection="1">
      <alignment vertical="center" wrapText="1"/>
      <protection locked="0"/>
    </xf>
    <xf numFmtId="0" fontId="101" fillId="2" borderId="17" xfId="0" applyFont="1" applyFill="1" applyBorder="1" applyAlignment="1">
      <alignment vertical="center" wrapText="1"/>
    </xf>
    <xf numFmtId="0" fontId="101" fillId="2" borderId="17" xfId="0" applyFont="1" applyFill="1" applyBorder="1" applyAlignment="1">
      <alignment horizontal="center" vertical="center" wrapText="1"/>
    </xf>
    <xf numFmtId="187" fontId="85" fillId="14" borderId="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3" xfId="0" applyFont="1" applyBorder="1" applyAlignment="1" applyProtection="1">
      <alignment vertical="center" shrinkToFit="1"/>
      <protection locked="0"/>
    </xf>
    <xf numFmtId="187" fontId="30" fillId="15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/>
      <protection locked="0"/>
    </xf>
    <xf numFmtId="0" fontId="7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14" fontId="7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58" xfId="0" applyFont="1" applyFill="1" applyBorder="1" applyAlignment="1" applyProtection="1">
      <alignment horizontal="center" vertical="center"/>
      <protection locked="0"/>
    </xf>
    <xf numFmtId="1" fontId="10" fillId="0" borderId="18" xfId="0" applyNumberFormat="1" applyFont="1" applyBorder="1" applyAlignment="1">
      <alignment horizontal="center" vertical="center" shrinkToFit="1"/>
    </xf>
    <xf numFmtId="1" fontId="10" fillId="0" borderId="21" xfId="0" applyNumberFormat="1" applyFont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shrinkToFit="1"/>
    </xf>
    <xf numFmtId="177" fontId="10" fillId="0" borderId="2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" fillId="9" borderId="33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9" borderId="2" xfId="0" applyFont="1" applyFill="1" applyBorder="1" applyAlignment="1" applyProtection="1">
      <alignment horizontal="center"/>
      <protection locked="0"/>
    </xf>
    <xf numFmtId="0" fontId="5" fillId="9" borderId="3" xfId="0" applyFont="1" applyFill="1" applyBorder="1" applyAlignment="1" applyProtection="1">
      <alignment horizontal="center"/>
      <protection locked="0"/>
    </xf>
    <xf numFmtId="0" fontId="5" fillId="9" borderId="4" xfId="0" applyFont="1" applyFill="1" applyBorder="1" applyAlignment="1" applyProtection="1">
      <alignment horizontal="center"/>
      <protection locked="0"/>
    </xf>
    <xf numFmtId="0" fontId="5" fillId="9" borderId="24" xfId="0" applyFont="1" applyFill="1" applyBorder="1" applyAlignment="1" applyProtection="1">
      <alignment horizontal="center"/>
      <protection locked="0"/>
    </xf>
    <xf numFmtId="0" fontId="5" fillId="9" borderId="25" xfId="0" applyFont="1" applyFill="1" applyBorder="1" applyAlignment="1" applyProtection="1">
      <alignment horizontal="center"/>
      <protection locked="0"/>
    </xf>
    <xf numFmtId="0" fontId="5" fillId="9" borderId="23" xfId="0" applyFont="1" applyFill="1" applyBorder="1" applyAlignment="1" applyProtection="1">
      <alignment horizontal="center"/>
      <protection locked="0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93" fillId="0" borderId="51" xfId="0" applyFont="1" applyBorder="1" applyAlignment="1" applyProtection="1">
      <alignment horizontal="right" vertical="center" shrinkToFit="1"/>
      <protection locked="0"/>
    </xf>
    <xf numFmtId="0" fontId="93" fillId="0" borderId="50" xfId="0" applyFont="1" applyBorder="1" applyAlignment="1" applyProtection="1">
      <alignment horizontal="right" vertical="center" shrinkToFit="1"/>
      <protection locked="0"/>
    </xf>
    <xf numFmtId="0" fontId="92" fillId="0" borderId="59" xfId="0" applyFont="1" applyBorder="1" applyAlignment="1" applyProtection="1">
      <alignment horizontal="center" vertical="center" shrinkToFit="1"/>
      <protection locked="0"/>
    </xf>
    <xf numFmtId="0" fontId="92" fillId="0" borderId="60" xfId="0" applyFont="1" applyBorder="1" applyAlignment="1" applyProtection="1">
      <alignment horizontal="center" vertical="center" shrinkToFit="1"/>
      <protection locked="0"/>
    </xf>
    <xf numFmtId="0" fontId="93" fillId="0" borderId="39" xfId="0" applyFont="1" applyBorder="1" applyAlignment="1">
      <alignment horizontal="right" vertical="center" shrinkToFit="1"/>
    </xf>
    <xf numFmtId="0" fontId="93" fillId="0" borderId="40" xfId="0" applyFont="1" applyBorder="1" applyAlignment="1">
      <alignment horizontal="right" vertical="center" shrinkToFit="1"/>
    </xf>
    <xf numFmtId="0" fontId="10" fillId="11" borderId="26" xfId="0" applyFont="1" applyFill="1" applyBorder="1" applyAlignment="1" applyProtection="1">
      <alignment horizontal="center" vertical="center" shrinkToFit="1"/>
      <protection locked="0"/>
    </xf>
    <xf numFmtId="0" fontId="10" fillId="11" borderId="27" xfId="0" applyFont="1" applyFill="1" applyBorder="1" applyAlignment="1" applyProtection="1">
      <alignment horizontal="center" vertical="center" shrinkToFit="1"/>
      <protection locked="0"/>
    </xf>
    <xf numFmtId="0" fontId="47" fillId="0" borderId="13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0" fontId="48" fillId="0" borderId="1" xfId="0" applyFont="1" applyBorder="1" applyAlignment="1">
      <alignment horizontal="center" vertical="center" shrinkToFit="1"/>
    </xf>
    <xf numFmtId="0" fontId="49" fillId="0" borderId="52" xfId="0" applyFont="1" applyBorder="1" applyAlignment="1">
      <alignment horizontal="center" shrinkToFit="1"/>
    </xf>
    <xf numFmtId="0" fontId="49" fillId="0" borderId="11" xfId="0" applyFont="1" applyBorder="1" applyAlignment="1">
      <alignment horizontal="center" shrinkToFit="1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0" fontId="49" fillId="0" borderId="65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1" fontId="68" fillId="0" borderId="0" xfId="0" applyNumberFormat="1" applyFont="1" applyAlignment="1">
      <alignment horizontal="center" vertical="center" readingOrder="1"/>
    </xf>
    <xf numFmtId="0" fontId="16" fillId="0" borderId="0" xfId="0" applyFont="1" applyAlignment="1">
      <alignment horizontal="center"/>
    </xf>
    <xf numFmtId="0" fontId="51" fillId="0" borderId="19" xfId="4" applyFont="1" applyBorder="1" applyAlignment="1">
      <alignment horizontal="center" vertical="center" wrapText="1"/>
    </xf>
    <xf numFmtId="0" fontId="51" fillId="0" borderId="20" xfId="4" applyFont="1" applyBorder="1" applyAlignment="1">
      <alignment horizontal="center" vertical="center" wrapText="1"/>
    </xf>
    <xf numFmtId="0" fontId="51" fillId="0" borderId="56" xfId="4" applyFont="1" applyBorder="1" applyAlignment="1">
      <alignment horizontal="left" vertical="center" wrapText="1"/>
    </xf>
    <xf numFmtId="0" fontId="51" fillId="0" borderId="50" xfId="4" applyFont="1" applyBorder="1" applyAlignment="1">
      <alignment horizontal="left" vertical="center" wrapText="1"/>
    </xf>
    <xf numFmtId="0" fontId="43" fillId="0" borderId="22" xfId="4" applyFont="1" applyBorder="1" applyAlignment="1">
      <alignment horizontal="center" vertical="center" wrapText="1"/>
    </xf>
    <xf numFmtId="0" fontId="43" fillId="0" borderId="23" xfId="4" applyFont="1" applyBorder="1" applyAlignment="1">
      <alignment horizontal="center" vertical="center" wrapText="1"/>
    </xf>
    <xf numFmtId="0" fontId="43" fillId="0" borderId="40" xfId="4" applyFont="1" applyBorder="1" applyAlignment="1">
      <alignment horizontal="center" vertical="center"/>
    </xf>
    <xf numFmtId="0" fontId="43" fillId="0" borderId="17" xfId="4" applyFont="1" applyBorder="1" applyAlignment="1">
      <alignment horizontal="center" vertical="center"/>
    </xf>
    <xf numFmtId="0" fontId="22" fillId="0" borderId="51" xfId="4" applyFont="1" applyBorder="1" applyAlignment="1">
      <alignment horizontal="center"/>
    </xf>
    <xf numFmtId="0" fontId="22" fillId="0" borderId="53" xfId="4" applyFont="1" applyBorder="1" applyAlignment="1">
      <alignment horizontal="center"/>
    </xf>
    <xf numFmtId="0" fontId="51" fillId="0" borderId="32" xfId="4" applyFont="1" applyBorder="1" applyAlignment="1">
      <alignment horizontal="center" vertical="center" wrapText="1"/>
    </xf>
    <xf numFmtId="0" fontId="43" fillId="0" borderId="22" xfId="4" applyFont="1" applyBorder="1" applyAlignment="1">
      <alignment horizontal="center" vertical="center"/>
    </xf>
    <xf numFmtId="0" fontId="43" fillId="0" borderId="57" xfId="4" applyFont="1" applyBorder="1" applyAlignment="1">
      <alignment horizontal="center" vertical="center"/>
    </xf>
    <xf numFmtId="0" fontId="27" fillId="0" borderId="40" xfId="4" applyFont="1" applyBorder="1" applyAlignment="1">
      <alignment horizontal="left" vertical="center" shrinkToFit="1"/>
    </xf>
    <xf numFmtId="0" fontId="51" fillId="0" borderId="16" xfId="4" applyFont="1" applyBorder="1" applyAlignment="1">
      <alignment horizontal="center" vertical="center"/>
    </xf>
    <xf numFmtId="0" fontId="51" fillId="0" borderId="17" xfId="4" applyFont="1" applyBorder="1" applyAlignment="1">
      <alignment horizontal="center" vertical="center"/>
    </xf>
    <xf numFmtId="0" fontId="51" fillId="0" borderId="48" xfId="4" applyFont="1" applyBorder="1" applyAlignment="1">
      <alignment horizontal="center" vertical="center"/>
    </xf>
    <xf numFmtId="0" fontId="51" fillId="0" borderId="49" xfId="4" applyFont="1" applyBorder="1" applyAlignment="1">
      <alignment horizontal="center" vertical="center"/>
    </xf>
    <xf numFmtId="0" fontId="45" fillId="0" borderId="0" xfId="4" applyFont="1" applyAlignment="1">
      <alignment horizontal="center" vertical="center"/>
    </xf>
    <xf numFmtId="0" fontId="43" fillId="12" borderId="16" xfId="4" applyFont="1" applyFill="1" applyBorder="1" applyAlignment="1">
      <alignment horizontal="left" vertical="center" wrapText="1"/>
    </xf>
    <xf numFmtId="0" fontId="43" fillId="12" borderId="40" xfId="4" applyFont="1" applyFill="1" applyBorder="1" applyAlignment="1">
      <alignment horizontal="left" vertical="center" wrapText="1"/>
    </xf>
    <xf numFmtId="0" fontId="27" fillId="0" borderId="41" xfId="4" applyFont="1" applyBorder="1" applyAlignment="1" applyProtection="1">
      <alignment horizontal="center" vertical="center" shrinkToFit="1"/>
      <protection locked="0"/>
    </xf>
    <xf numFmtId="0" fontId="27" fillId="0" borderId="42" xfId="4" applyFont="1" applyBorder="1" applyAlignment="1" applyProtection="1">
      <alignment horizontal="center" vertical="center" shrinkToFit="1"/>
      <protection locked="0"/>
    </xf>
    <xf numFmtId="0" fontId="27" fillId="0" borderId="43" xfId="4" applyFont="1" applyBorder="1" applyAlignment="1" applyProtection="1">
      <alignment horizontal="center" vertical="center" shrinkToFit="1"/>
      <protection locked="0"/>
    </xf>
    <xf numFmtId="0" fontId="7" fillId="11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66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75" fillId="0" borderId="2" xfId="0" applyFont="1" applyBorder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0" fontId="78" fillId="0" borderId="69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8" fillId="0" borderId="71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8" fillId="0" borderId="74" xfId="0" applyFont="1" applyBorder="1" applyAlignment="1">
      <alignment horizontal="center" vertical="center"/>
    </xf>
    <xf numFmtId="0" fontId="78" fillId="0" borderId="75" xfId="0" applyFont="1" applyBorder="1" applyAlignment="1">
      <alignment horizontal="center" vertical="center"/>
    </xf>
    <xf numFmtId="0" fontId="78" fillId="0" borderId="76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 textRotation="255"/>
    </xf>
    <xf numFmtId="0" fontId="79" fillId="0" borderId="29" xfId="0" applyFont="1" applyBorder="1" applyAlignment="1">
      <alignment horizontal="center" vertical="center" textRotation="255"/>
    </xf>
    <xf numFmtId="0" fontId="79" fillId="0" borderId="24" xfId="0" applyFont="1" applyBorder="1" applyAlignment="1">
      <alignment horizontal="center" vertical="center" textRotation="255"/>
    </xf>
  </cellXfs>
  <cellStyles count="22">
    <cellStyle name="Excel Built-in Normal" xfId="21" xr:uid="{00000000-0005-0000-0000-000000000000}"/>
    <cellStyle name="Normal 10" xfId="10" xr:uid="{00000000-0005-0000-0000-000001000000}"/>
    <cellStyle name="Normal 11" xfId="11" xr:uid="{00000000-0005-0000-0000-000002000000}"/>
    <cellStyle name="Normal 12" xfId="12" xr:uid="{00000000-0005-0000-0000-000003000000}"/>
    <cellStyle name="Normal 13" xfId="13" xr:uid="{00000000-0005-0000-0000-000004000000}"/>
    <cellStyle name="Normal 14" xfId="14" xr:uid="{00000000-0005-0000-0000-000005000000}"/>
    <cellStyle name="Normal 15" xfId="15" xr:uid="{00000000-0005-0000-0000-000006000000}"/>
    <cellStyle name="Normal 16" xfId="16" xr:uid="{00000000-0005-0000-0000-000007000000}"/>
    <cellStyle name="Normal 17" xfId="17" xr:uid="{00000000-0005-0000-0000-000008000000}"/>
    <cellStyle name="Normal 18" xfId="18" xr:uid="{00000000-0005-0000-0000-000009000000}"/>
    <cellStyle name="Normal 19" xfId="19" xr:uid="{00000000-0005-0000-0000-00000A000000}"/>
    <cellStyle name="Normal 2" xfId="1" xr:uid="{00000000-0005-0000-0000-00000B000000}"/>
    <cellStyle name="Normal 3" xfId="2" xr:uid="{00000000-0005-0000-0000-00000C000000}"/>
    <cellStyle name="Normal 4" xfId="4" xr:uid="{00000000-0005-0000-0000-00000D000000}"/>
    <cellStyle name="Normal 5" xfId="5" xr:uid="{00000000-0005-0000-0000-00000E000000}"/>
    <cellStyle name="Normal 6" xfId="6" xr:uid="{00000000-0005-0000-0000-00000F000000}"/>
    <cellStyle name="Normal 7" xfId="7" xr:uid="{00000000-0005-0000-0000-000010000000}"/>
    <cellStyle name="Normal 8" xfId="8" xr:uid="{00000000-0005-0000-0000-000011000000}"/>
    <cellStyle name="Normal 9" xfId="9" xr:uid="{00000000-0005-0000-0000-000012000000}"/>
    <cellStyle name="通貨 [0.00]" xfId="3" builtinId="4"/>
    <cellStyle name="標準" xfId="0" builtinId="0"/>
    <cellStyle name="標準 2" xfId="20" xr:uid="{00000000-0005-0000-0000-000015000000}"/>
  </cellStyles>
  <dxfs count="142"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strike val="0"/>
        <color theme="0"/>
      </font>
    </dxf>
    <dxf>
      <font>
        <color rgb="FF0000FF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 val="0"/>
        <i val="0"/>
        <strike val="0"/>
        <color auto="1"/>
      </font>
      <fill>
        <patternFill patternType="lightUp">
          <fgColor rgb="FFFF0000"/>
          <bgColor auto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theme="7" tint="0.59996337778862885"/>
        </patternFill>
      </fill>
    </dxf>
    <dxf>
      <font>
        <b/>
        <i val="0"/>
        <strike val="0"/>
      </font>
      <fill>
        <patternFill>
          <bgColor rgb="FFFE8002"/>
        </patternFill>
      </fill>
    </dxf>
    <dxf>
      <font>
        <b/>
        <i val="0"/>
        <strike val="0"/>
        <color auto="1"/>
      </font>
      <fill>
        <patternFill>
          <bgColor theme="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condense val="0"/>
        <extend val="0"/>
        <color indexed="23"/>
      </font>
      <fill>
        <patternFill>
          <bgColor indexed="55"/>
        </patternFill>
      </fill>
    </dxf>
    <dxf>
      <font>
        <i val="0"/>
        <condense val="0"/>
        <extend val="0"/>
        <color indexed="55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  <color rgb="FFFF3399"/>
      <color rgb="FFFF66FF"/>
      <color rgb="FFFFCCFF"/>
      <color rgb="FFCCFFCC"/>
      <color rgb="FF99FF66"/>
      <color rgb="FFCCFF99"/>
      <color rgb="FFFE8002"/>
      <color rgb="FFFF505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emf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90463692038499E-2"/>
          <c:y val="3.5248773251169693E-2"/>
          <c:w val="0.90232328458942623"/>
          <c:h val="0.9230224980049275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4-4531-8BB0-D974966A0F65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4-4531-8BB0-D974966A0F65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dLbls>
            <c:dLbl>
              <c:idx val="0"/>
              <c:layout>
                <c:manualLayout>
                  <c:x val="0"/>
                  <c:y val="0.34093562541755884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9-42C9-9761-1DCD72A3EAF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Setup!$G$23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4-4531-8BB0-D974966A0F65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44-4531-8BB0-D974966A0F65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44-4531-8BB0-D974966A0F65}"/>
            </c:ext>
          </c:extLst>
        </c:ser>
        <c:ser>
          <c:idx val="23"/>
          <c:order val="5"/>
          <c:tx>
            <c:v>eleiko 10k</c:v>
          </c:tx>
          <c:spPr>
            <a:blipFill>
              <a:blip xmlns:r="http://schemas.openxmlformats.org/officeDocument/2006/relationships" r:embed="rId6"/>
              <a:stretch>
                <a:fillRect/>
              </a:stretch>
            </a:blipFill>
          </c:spPr>
          <c:invertIfNegative val="0"/>
          <c:val>
            <c:numRef>
              <c:f>Setup!$E$96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44-4531-8BB0-D974966A0F65}"/>
            </c:ext>
          </c:extLst>
        </c:ser>
        <c:ser>
          <c:idx val="5"/>
          <c:order val="6"/>
          <c:tx>
            <c:v>Ivanko 10k</c:v>
          </c:tx>
          <c:spPr>
            <a:blipFill>
              <a:blip xmlns:r="http://schemas.openxmlformats.org/officeDocument/2006/relationships" r:embed="rId7"/>
              <a:stretch>
                <a:fillRect/>
              </a:stretch>
            </a:blipFill>
          </c:spPr>
          <c:invertIfNegative val="0"/>
          <c:val>
            <c:numRef>
              <c:f>Setup!$F$96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44-4531-8BB0-D974966A0F65}"/>
            </c:ext>
          </c:extLst>
        </c:ser>
        <c:ser>
          <c:idx val="27"/>
          <c:order val="7"/>
          <c:tx>
            <c:v>Titex 10k</c:v>
          </c:tx>
          <c:spPr>
            <a:blipFill>
              <a:blip xmlns:r="http://schemas.openxmlformats.org/officeDocument/2006/relationships" r:embed="rId6"/>
              <a:stretch>
                <a:fillRect/>
              </a:stretch>
            </a:blipFill>
          </c:spPr>
          <c:invertIfNegative val="0"/>
          <c:val>
            <c:numRef>
              <c:f>Setup!$G$96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44-4531-8BB0-D974966A0F65}"/>
            </c:ext>
          </c:extLst>
        </c:ser>
        <c:ser>
          <c:idx val="24"/>
          <c:order val="8"/>
          <c:tx>
            <c:v>eleiko 5k</c:v>
          </c:tx>
          <c:spPr>
            <a:blipFill>
              <a:blip xmlns:r="http://schemas.openxmlformats.org/officeDocument/2006/relationships" r:embed="rId8"/>
              <a:stretch>
                <a:fillRect/>
              </a:stretch>
            </a:blipFill>
          </c:spPr>
          <c:invertIfNegative val="0"/>
          <c:val>
            <c:numRef>
              <c:f>Setup!$E$97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44-4531-8BB0-D974966A0F65}"/>
            </c:ext>
          </c:extLst>
        </c:ser>
        <c:ser>
          <c:idx val="6"/>
          <c:order val="9"/>
          <c:tx>
            <c:v>Ivanko 5k</c:v>
          </c:tx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</c:spPr>
            <c:extLst>
              <c:ext xmlns:c16="http://schemas.microsoft.com/office/drawing/2014/chart" uri="{C3380CC4-5D6E-409C-BE32-E72D297353CC}">
                <c16:uniqueId val="{0000000B-C144-4531-8BB0-D974966A0F65}"/>
              </c:ext>
            </c:extLst>
          </c:dPt>
          <c:val>
            <c:numRef>
              <c:f>Setup!$F$97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44-4531-8BB0-D974966A0F65}"/>
            </c:ext>
          </c:extLst>
        </c:ser>
        <c:ser>
          <c:idx val="26"/>
          <c:order val="10"/>
          <c:tx>
            <c:v>Titex 5k</c:v>
          </c:tx>
          <c:spPr>
            <a:blipFill>
              <a:blip xmlns:r="http://schemas.openxmlformats.org/officeDocument/2006/relationships" r:embed="rId10"/>
              <a:stretch>
                <a:fillRect/>
              </a:stretch>
            </a:blipFill>
          </c:spPr>
          <c:invertIfNegative val="0"/>
          <c:val>
            <c:numRef>
              <c:f>Setup!$G$97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144-4531-8BB0-D974966A0F65}"/>
            </c:ext>
          </c:extLst>
        </c:ser>
        <c:ser>
          <c:idx val="7"/>
          <c:order val="11"/>
          <c:tx>
            <c:v>Ivanko 2.5k</c:v>
          </c:tx>
          <c:spPr>
            <a:blipFill>
              <a:blip xmlns:r="http://schemas.openxmlformats.org/officeDocument/2006/relationships" r:embed="rId11"/>
              <a:stretch>
                <a:fillRect/>
              </a:stretch>
            </a:blipFill>
          </c:spPr>
          <c:invertIfNegative val="0"/>
          <c:val>
            <c:numRef>
              <c:f>Setup!$F$98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144-4531-8BB0-D974966A0F65}"/>
            </c:ext>
          </c:extLst>
        </c:ser>
        <c:ser>
          <c:idx val="28"/>
          <c:order val="12"/>
          <c:tx>
            <c:v>Titex 2.5k</c:v>
          </c:tx>
          <c:spPr>
            <a:blipFill>
              <a:blip xmlns:r="http://schemas.openxmlformats.org/officeDocument/2006/relationships" r:embed="rId12"/>
              <a:stretch>
                <a:fillRect/>
              </a:stretch>
            </a:blipFill>
          </c:spPr>
          <c:invertIfNegative val="0"/>
          <c:val>
            <c:numRef>
              <c:f>Setup!$G$98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144-4531-8BB0-D974966A0F65}"/>
            </c:ext>
          </c:extLst>
        </c:ser>
        <c:ser>
          <c:idx val="25"/>
          <c:order val="13"/>
          <c:tx>
            <c:v>Eleiko 2.5k</c:v>
          </c:tx>
          <c:spPr>
            <a:blipFill>
              <a:blip xmlns:r="http://schemas.openxmlformats.org/officeDocument/2006/relationships" r:embed="rId11"/>
              <a:stretch>
                <a:fillRect/>
              </a:stretch>
            </a:blipFill>
          </c:spPr>
          <c:invertIfNegative val="0"/>
          <c:val>
            <c:numRef>
              <c:f>Setup!$E$98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144-4531-8BB0-D974966A0F65}"/>
            </c:ext>
          </c:extLst>
        </c:ser>
        <c:ser>
          <c:idx val="8"/>
          <c:order val="14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retch"/>
          </c:pictureOptions>
          <c:val>
            <c:numRef>
              <c:f>Setup!$G$29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144-4531-8BB0-D974966A0F65}"/>
            </c:ext>
          </c:extLst>
        </c:ser>
        <c:ser>
          <c:idx val="10"/>
          <c:order val="15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144-4531-8BB0-D974966A0F65}"/>
            </c:ext>
          </c:extLst>
        </c:ser>
        <c:ser>
          <c:idx val="9"/>
          <c:order val="16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144-4531-8BB0-D974966A0F65}"/>
            </c:ext>
          </c:extLst>
        </c:ser>
        <c:ser>
          <c:idx val="12"/>
          <c:order val="17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144-4531-8BB0-D974966A0F65}"/>
            </c:ext>
          </c:extLst>
        </c:ser>
        <c:ser>
          <c:idx val="13"/>
          <c:order val="18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144-4531-8BB0-D974966A0F65}"/>
            </c:ext>
          </c:extLst>
        </c:ser>
        <c:ser>
          <c:idx val="14"/>
          <c:order val="19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144-4531-8BB0-D974966A0F65}"/>
            </c:ext>
          </c:extLst>
        </c:ser>
        <c:ser>
          <c:idx val="15"/>
          <c:order val="20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144-4531-8BB0-D974966A0F65}"/>
            </c:ext>
          </c:extLst>
        </c:ser>
        <c:ser>
          <c:idx val="16"/>
          <c:order val="21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144-4531-8BB0-D974966A0F65}"/>
            </c:ext>
          </c:extLst>
        </c:ser>
        <c:ser>
          <c:idx val="17"/>
          <c:order val="22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144-4531-8BB0-D974966A0F65}"/>
            </c:ext>
          </c:extLst>
        </c:ser>
        <c:ser>
          <c:idx val="18"/>
          <c:order val="23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144-4531-8BB0-D974966A0F65}"/>
            </c:ext>
          </c:extLst>
        </c:ser>
        <c:ser>
          <c:idx val="19"/>
          <c:order val="24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144-4531-8BB0-D974966A0F65}"/>
            </c:ext>
          </c:extLst>
        </c:ser>
        <c:ser>
          <c:idx val="20"/>
          <c:order val="25"/>
          <c:spPr>
            <a:blipFill dpi="0" rotWithShape="0">
              <a:blip xmlns:r="http://schemas.openxmlformats.org/officeDocument/2006/relationships" r:embed="rId2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144-4531-8BB0-D974966A0F65}"/>
            </c:ext>
          </c:extLst>
        </c:ser>
        <c:ser>
          <c:idx val="21"/>
          <c:order val="26"/>
          <c:spPr>
            <a:blipFill dpi="0" rotWithShape="0">
              <a:blip xmlns:r="http://schemas.openxmlformats.org/officeDocument/2006/relationships" r:embed="rId2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144-4531-8BB0-D974966A0F65}"/>
            </c:ext>
          </c:extLst>
        </c:ser>
        <c:ser>
          <c:idx val="22"/>
          <c:order val="27"/>
          <c:spPr>
            <a:blipFill dpi="0" rotWithShape="0">
              <a:blip xmlns:r="http://schemas.openxmlformats.org/officeDocument/2006/relationships" r:embed="rId2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144-4531-8BB0-D974966A0F65}"/>
            </c:ext>
          </c:extLst>
        </c:ser>
        <c:ser>
          <c:idx val="11"/>
          <c:order val="28"/>
          <c:tx>
            <c:strRef>
              <c:f>Setup!$E$32</c:f>
              <c:strCache>
                <c:ptCount val="1"/>
                <c:pt idx="0">
                  <c:v>bar &amp; collars</c:v>
                </c:pt>
              </c:strCache>
            </c:strRef>
          </c:tx>
          <c:spPr>
            <a:blipFill>
              <a:blip xmlns:r="http://schemas.openxmlformats.org/officeDocument/2006/relationships" r:embed="rId27"/>
              <a:stretch>
                <a:fillRect/>
              </a:stretch>
            </a:blipFill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F-C144-4531-8BB0-D974966A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9022848"/>
        <c:axId val="148391616"/>
      </c:barChart>
      <c:catAx>
        <c:axId val="339022848"/>
        <c:scaling>
          <c:orientation val="minMax"/>
        </c:scaling>
        <c:delete val="1"/>
        <c:axPos val="l"/>
        <c:title>
          <c:tx>
            <c:rich>
              <a:bodyPr rot="0" vert="wordArtVert"/>
              <a:lstStyle/>
              <a:p>
                <a:pPr>
                  <a:defRPr sz="1200" b="1" kern="100" spc="-100" baseline="0"/>
                </a:pPr>
                <a:r>
                  <a:rPr lang="en-US" altLang="ja-JP" sz="1200" spc="-300" baseline="0">
                    <a:solidFill>
                      <a:srgbClr val="0000FF"/>
                    </a:solidFill>
                  </a:rPr>
                  <a:t>Rack 16</a:t>
                </a:r>
                <a:endParaRPr lang="en-US" altLang="en-US" sz="1200" spc="-300" baseline="0">
                  <a:solidFill>
                    <a:srgbClr val="0000FF"/>
                  </a:solidFill>
                </a:endParaRPr>
              </a:p>
            </c:rich>
          </c:tx>
          <c:layout>
            <c:manualLayout>
              <c:xMode val="edge"/>
              <c:yMode val="edge"/>
              <c:x val="2.0641306160014094E-2"/>
              <c:y val="6.3588976803106934E-2"/>
            </c:manualLayout>
          </c:layout>
          <c:overlay val="0"/>
          <c:spPr>
            <a:solidFill>
              <a:schemeClr val="accent2"/>
            </a:solidFill>
          </c:spPr>
        </c:title>
        <c:majorTickMark val="out"/>
        <c:minorTickMark val="none"/>
        <c:tickLblPos val="none"/>
        <c:crossAx val="148391616"/>
        <c:crosses val="autoZero"/>
        <c:auto val="1"/>
        <c:lblAlgn val="ctr"/>
        <c:lblOffset val="100"/>
        <c:noMultiLvlLbl val="0"/>
      </c:catAx>
      <c:valAx>
        <c:axId val="148391616"/>
        <c:scaling>
          <c:orientation val="minMax"/>
          <c:max val="12"/>
        </c:scaling>
        <c:delete val="1"/>
        <c:axPos val="b"/>
        <c:title>
          <c:tx>
            <c:strRef>
              <c:f>Lists!$O$38</c:f>
              <c:strCache>
                <c:ptCount val="1"/>
                <c:pt idx="0">
                  <c:v>On Deck Barload - No Change</c:v>
                </c:pt>
              </c:strCache>
            </c:strRef>
          </c:tx>
          <c:layout>
            <c:manualLayout>
              <c:xMode val="edge"/>
              <c:yMode val="edge"/>
              <c:x val="9.7209062654395995E-2"/>
              <c:y val="0.88879822878117565"/>
            </c:manualLayout>
          </c:layout>
          <c:overlay val="0"/>
          <c:txPr>
            <a:bodyPr/>
            <a:lstStyle/>
            <a:p>
              <a:pPr>
                <a:defRPr sz="1100" b="1"/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one"/>
        <c:crossAx val="339022848"/>
        <c:crosses val="autoZero"/>
        <c:crossBetween val="between"/>
      </c:valAx>
      <c:spPr>
        <a:blipFill dpi="0" rotWithShape="0">
          <a:blip xmlns:r="http://schemas.openxmlformats.org/officeDocument/2006/relationships" r:embed="rId28"/>
          <a:srcRect/>
          <a:stretch>
            <a:fillRect/>
          </a:stretch>
        </a:blip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611" r="0.75000000000000611" t="1" header="0.5" footer="0.5"/>
    <c:pageSetup orientation="portrait" horizontalDpi="-3" verticalDpi="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25</xdr:row>
      <xdr:rowOff>28575</xdr:rowOff>
    </xdr:from>
    <xdr:to>
      <xdr:col>12</xdr:col>
      <xdr:colOff>0</xdr:colOff>
      <xdr:row>26</xdr:row>
      <xdr:rowOff>123825</xdr:rowOff>
    </xdr:to>
    <xdr:sp macro="" textlink="">
      <xdr:nvSpPr>
        <xdr:cNvPr id="3" name="Rectangle 2" descr="1212b0e2-5330-4cc6-b10a-a4e7ad4bc8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410075" y="3810000"/>
          <a:ext cx="13049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238806</xdr:colOff>
      <xdr:row>2</xdr:row>
      <xdr:rowOff>59531</xdr:rowOff>
    </xdr:from>
    <xdr:to>
      <xdr:col>6</xdr:col>
      <xdr:colOff>308882</xdr:colOff>
      <xdr:row>3</xdr:row>
      <xdr:rowOff>100693</xdr:rowOff>
    </xdr:to>
    <xdr:sp macro="[0]!Reset" textlink="">
      <xdr:nvSpPr>
        <xdr:cNvPr id="4" name="Rectangle 3" descr="b90384d6-15ca-4529-a877-33d5839c612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8356" y="564356"/>
          <a:ext cx="2975201" cy="20308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118533</xdr:colOff>
      <xdr:row>52</xdr:row>
      <xdr:rowOff>59265</xdr:rowOff>
    </xdr:from>
    <xdr:to>
      <xdr:col>6</xdr:col>
      <xdr:colOff>528319</xdr:colOff>
      <xdr:row>53</xdr:row>
      <xdr:rowOff>151341</xdr:rowOff>
    </xdr:to>
    <xdr:sp macro="[0]!Results" textlink="">
      <xdr:nvSpPr>
        <xdr:cNvPr id="5" name="Rectangle 4" descr="a0575e5d-42e7-4884-982b-8f08b9d42da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8000" y="10303932"/>
          <a:ext cx="3373119" cy="2868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13335</xdr:colOff>
      <xdr:row>42</xdr:row>
      <xdr:rowOff>30480</xdr:rowOff>
    </xdr:from>
    <xdr:to>
      <xdr:col>5</xdr:col>
      <xdr:colOff>518160</xdr:colOff>
      <xdr:row>43</xdr:row>
      <xdr:rowOff>146685</xdr:rowOff>
    </xdr:to>
    <xdr:sp macro="[0]!UpdateUSAPLRecords" textlink="">
      <xdr:nvSpPr>
        <xdr:cNvPr id="6" name="Bevel 5" descr="97dff383-39b2-43a7-a654-08479964155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1955" y="8153400"/>
          <a:ext cx="2882265" cy="306705"/>
        </a:xfrm>
        <a:prstGeom prst="bevel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99060</xdr:colOff>
      <xdr:row>47</xdr:row>
      <xdr:rowOff>68580</xdr:rowOff>
    </xdr:from>
    <xdr:to>
      <xdr:col>6</xdr:col>
      <xdr:colOff>472440</xdr:colOff>
      <xdr:row>48</xdr:row>
      <xdr:rowOff>129540</xdr:rowOff>
    </xdr:to>
    <xdr:sp macro="[0]!CreateScoreboard" textlink="">
      <xdr:nvSpPr>
        <xdr:cNvPr id="2" name="Rectangle 1" descr="fb32a85f-087c-4dda-8ba5-bb960639baf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7680" y="9144000"/>
          <a:ext cx="3345180" cy="2514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47624</xdr:rowOff>
    </xdr:from>
    <xdr:to>
      <xdr:col>1</xdr:col>
      <xdr:colOff>1771650</xdr:colOff>
      <xdr:row>0</xdr:row>
      <xdr:rowOff>504825</xdr:rowOff>
    </xdr:to>
    <xdr:sp macro="[0]!WeighIn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57200" y="47624"/>
          <a:ext cx="1714500" cy="45720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ja-JP" altLang="en-US" sz="1100" b="1"/>
            <a:t>データ出力</a:t>
          </a:r>
          <a:endParaRPr lang="en-US" sz="1100" b="1"/>
        </a:p>
      </xdr:txBody>
    </xdr:sp>
    <xdr:clientData/>
  </xdr:twoCellAnchor>
  <xdr:twoCellAnchor>
    <xdr:from>
      <xdr:col>15</xdr:col>
      <xdr:colOff>52916</xdr:colOff>
      <xdr:row>0</xdr:row>
      <xdr:rowOff>31749</xdr:rowOff>
    </xdr:from>
    <xdr:to>
      <xdr:col>15</xdr:col>
      <xdr:colOff>571500</xdr:colOff>
      <xdr:row>0</xdr:row>
      <xdr:rowOff>508000</xdr:rowOff>
    </xdr:to>
    <xdr:sp macro="[0]!CardPrint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964083" y="31749"/>
          <a:ext cx="518584" cy="47625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Print Cards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590549</xdr:colOff>
      <xdr:row>0</xdr:row>
      <xdr:rowOff>0</xdr:rowOff>
    </xdr:from>
    <xdr:to>
      <xdr:col>25</xdr:col>
      <xdr:colOff>171449</xdr:colOff>
      <xdr:row>7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</xdr:row>
      <xdr:rowOff>15240</xdr:rowOff>
    </xdr:from>
    <xdr:to>
      <xdr:col>2</xdr:col>
      <xdr:colOff>1630680</xdr:colOff>
      <xdr:row>6</xdr:row>
      <xdr:rowOff>251460</xdr:rowOff>
    </xdr:to>
    <xdr:sp macro="[0]!Good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798320" y="1767840"/>
          <a:ext cx="163068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34638</xdr:colOff>
      <xdr:row>6</xdr:row>
      <xdr:rowOff>13607</xdr:rowOff>
    </xdr:from>
    <xdr:to>
      <xdr:col>3</xdr:col>
      <xdr:colOff>639536</xdr:colOff>
      <xdr:row>6</xdr:row>
      <xdr:rowOff>258536</xdr:rowOff>
    </xdr:to>
    <xdr:sp macro="[0]!NoLift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9031" y="1755321"/>
          <a:ext cx="604898" cy="244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noFill/>
              <a:latin typeface="+mn-lt"/>
              <a:ea typeface="+mn-ea"/>
              <a:cs typeface="+mn-cs"/>
            </a:rPr>
            <a:t>NoLift</a:t>
          </a:r>
        </a:p>
      </xdr:txBody>
    </xdr:sp>
    <xdr:clientData/>
  </xdr:twoCellAnchor>
  <xdr:twoCellAnchor editAs="oneCell">
    <xdr:from>
      <xdr:col>0</xdr:col>
      <xdr:colOff>19050</xdr:colOff>
      <xdr:row>6</xdr:row>
      <xdr:rowOff>2660</xdr:rowOff>
    </xdr:from>
    <xdr:to>
      <xdr:col>1</xdr:col>
      <xdr:colOff>1984</xdr:colOff>
      <xdr:row>7</xdr:row>
      <xdr:rowOff>0</xdr:rowOff>
    </xdr:to>
    <xdr:pic macro="[0]!SelectPrint"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1794551"/>
          <a:ext cx="332184" cy="265230"/>
        </a:xfrm>
        <a:prstGeom prst="rect">
          <a:avLst/>
        </a:prstGeom>
      </xdr:spPr>
    </xdr:pic>
    <xdr:clientData/>
  </xdr:twoCellAnchor>
  <xdr:twoCellAnchor>
    <xdr:from>
      <xdr:col>4</xdr:col>
      <xdr:colOff>36635</xdr:colOff>
      <xdr:row>6</xdr:row>
      <xdr:rowOff>43963</xdr:rowOff>
    </xdr:from>
    <xdr:to>
      <xdr:col>4</xdr:col>
      <xdr:colOff>452272</xdr:colOff>
      <xdr:row>6</xdr:row>
      <xdr:rowOff>321054</xdr:rowOff>
    </xdr:to>
    <xdr:sp macro="[0]!NextLifter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275135" y="1172309"/>
          <a:ext cx="415637" cy="277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noFill/>
              <a:latin typeface="+mn-lt"/>
              <a:ea typeface="+mn-ea"/>
              <a:cs typeface="+mn-cs"/>
            </a:rPr>
            <a:t>NoLift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9525</xdr:colOff>
          <xdr:row>0</xdr:row>
          <xdr:rowOff>28575</xdr:rowOff>
        </xdr:from>
        <xdr:to>
          <xdr:col>91</xdr:col>
          <xdr:colOff>561975</xdr:colOff>
          <xdr:row>0</xdr:row>
          <xdr:rowOff>619125</xdr:rowOff>
        </xdr:to>
        <xdr:sp macro="" textlink="">
          <xdr:nvSpPr>
            <xdr:cNvPr id="4079" name="Button 1007" hidden="1">
              <a:extLst>
                <a:ext uri="{63B3BB69-23CF-44E3-9099-C40C66FF867C}">
                  <a14:compatExt spid="_x0000_s4079"/>
                </a:ext>
                <a:ext uri="{FF2B5EF4-FFF2-40B4-BE49-F238E27FC236}">
                  <a16:creationId xmlns:a16="http://schemas.microsoft.com/office/drawing/2014/main" id="{00000000-0008-0000-0400-0000E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クリア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0</xdr:row>
          <xdr:rowOff>47625</xdr:rowOff>
        </xdr:from>
        <xdr:to>
          <xdr:col>36</xdr:col>
          <xdr:colOff>295275</xdr:colOff>
          <xdr:row>0</xdr:row>
          <xdr:rowOff>342900</xdr:rowOff>
        </xdr:to>
        <xdr:sp macro="" textlink="">
          <xdr:nvSpPr>
            <xdr:cNvPr id="52227" name="Button 3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05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クリア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4763</xdr:colOff>
      <xdr:row>0</xdr:row>
      <xdr:rowOff>0</xdr:rowOff>
    </xdr:from>
    <xdr:to>
      <xdr:col>3</xdr:col>
      <xdr:colOff>100012</xdr:colOff>
      <xdr:row>0</xdr:row>
      <xdr:rowOff>783431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8" y="0"/>
          <a:ext cx="2095499" cy="783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84667</xdr:colOff>
      <xdr:row>0</xdr:row>
      <xdr:rowOff>254000</xdr:rowOff>
    </xdr:from>
    <xdr:to>
      <xdr:col>9</xdr:col>
      <xdr:colOff>370416</xdr:colOff>
      <xdr:row>0</xdr:row>
      <xdr:rowOff>560917</xdr:rowOff>
    </xdr:to>
    <xdr:sp macro="[0]!BlankPrint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302000" y="254000"/>
          <a:ext cx="2550583" cy="306917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/>
            <a:t>Print Blank Cards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47624</xdr:rowOff>
    </xdr:from>
    <xdr:to>
      <xdr:col>1</xdr:col>
      <xdr:colOff>1771650</xdr:colOff>
      <xdr:row>0</xdr:row>
      <xdr:rowOff>504825</xdr:rowOff>
    </xdr:to>
    <xdr:sp macro="[0]!WeighIn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457200" y="47624"/>
          <a:ext cx="1714500" cy="45720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ja-JP" altLang="en-US" sz="1100" b="1"/>
            <a:t>データ出力</a:t>
          </a:r>
          <a:endParaRPr lang="en-US" sz="1100" b="1"/>
        </a:p>
      </xdr:txBody>
    </xdr:sp>
    <xdr:clientData/>
  </xdr:twoCellAnchor>
  <xdr:twoCellAnchor>
    <xdr:from>
      <xdr:col>15</xdr:col>
      <xdr:colOff>52916</xdr:colOff>
      <xdr:row>0</xdr:row>
      <xdr:rowOff>31749</xdr:rowOff>
    </xdr:from>
    <xdr:to>
      <xdr:col>15</xdr:col>
      <xdr:colOff>571500</xdr:colOff>
      <xdr:row>0</xdr:row>
      <xdr:rowOff>508000</xdr:rowOff>
    </xdr:to>
    <xdr:sp macro="[0]!CardPrint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1082866" y="31749"/>
          <a:ext cx="518584" cy="47625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Print Cards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e7826a06a456fb4/&#12489;&#12461;&#12517;&#12513;&#12531;&#12488;/TOOL/&#22633;&#30000;&#12373;&#12435;&#12484;&#12540;&#12523;/20210410/Documents%20and%20Settings/Power%20Lifting/My%20Documents/Downloads/2014_USAPL_Nextlifter_R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xtLifter-SONY/Desktop/NextLifter/2019%20USAPL%20NextLifter-R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xtLifter-SONY/Documents/IPF%20NextLifter/2019%20IPF%20NextLifter%20with%20cloc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  <sheetName val="ResultsTemplate"/>
    </sheetNames>
    <sheetDataSet>
      <sheetData sheetId="0"/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theme="0"/>
  </sheetPr>
  <dimension ref="A1:AA102"/>
  <sheetViews>
    <sheetView workbookViewId="0">
      <selection activeCell="B12" sqref="B12:G13"/>
    </sheetView>
  </sheetViews>
  <sheetFormatPr defaultRowHeight="12.75" x14ac:dyDescent="0.2"/>
  <cols>
    <col min="1" max="1" width="5.7109375" style="36" customWidth="1"/>
    <col min="2" max="7" width="8.7109375" style="1" customWidth="1"/>
    <col min="8" max="8" width="5.28515625" style="1" customWidth="1"/>
    <col min="9" max="9" width="9.28515625" style="1"/>
    <col min="10" max="10" width="26.7109375" style="1" customWidth="1"/>
    <col min="11" max="11" width="9.7109375" style="1" customWidth="1"/>
    <col min="12" max="12" width="5.5703125" style="1" customWidth="1"/>
    <col min="13" max="13" width="0" style="1" hidden="1" customWidth="1"/>
    <col min="14" max="14" width="27.42578125" style="1" hidden="1" customWidth="1"/>
    <col min="15" max="15" width="5.28515625" style="1" hidden="1" customWidth="1"/>
    <col min="16" max="16" width="6.42578125" style="1" hidden="1" customWidth="1"/>
    <col min="17" max="17" width="12.7109375" style="1" customWidth="1"/>
    <col min="18" max="23" width="9.28515625" style="1" hidden="1" customWidth="1"/>
    <col min="25" max="25" width="9.140625" customWidth="1"/>
    <col min="26" max="26" width="6.42578125" hidden="1" customWidth="1"/>
  </cols>
  <sheetData>
    <row r="1" spans="1:26" ht="25.5" x14ac:dyDescent="0.2">
      <c r="A1" s="59"/>
      <c r="B1" s="393" t="s">
        <v>800</v>
      </c>
      <c r="C1" s="393"/>
      <c r="D1" s="393"/>
      <c r="E1" s="393"/>
      <c r="F1" s="393"/>
      <c r="G1" s="393"/>
      <c r="I1" s="406"/>
      <c r="J1" s="406"/>
      <c r="K1" s="226">
        <v>43523</v>
      </c>
      <c r="T1" s="1">
        <f>MATCH(B9,T2:T6,0)</f>
        <v>1</v>
      </c>
      <c r="Z1">
        <f>MAX(K:K)</f>
        <v>43523</v>
      </c>
    </row>
    <row r="2" spans="1:26" ht="15" customHeight="1" thickBot="1" x14ac:dyDescent="0.25">
      <c r="T2" s="82" t="s">
        <v>0</v>
      </c>
    </row>
    <row r="3" spans="1:26" ht="15" customHeight="1" x14ac:dyDescent="0.2">
      <c r="B3" s="371" t="s">
        <v>466</v>
      </c>
      <c r="C3" s="366"/>
      <c r="D3" s="366"/>
      <c r="E3" s="366"/>
      <c r="F3" s="366"/>
      <c r="G3" s="367"/>
      <c r="I3" s="400" t="s">
        <v>659</v>
      </c>
      <c r="J3" s="401"/>
      <c r="K3" s="402"/>
      <c r="M3" s="396" t="s">
        <v>3</v>
      </c>
      <c r="N3" s="397"/>
      <c r="Q3" s="394" t="s">
        <v>853</v>
      </c>
      <c r="T3" s="188" t="s">
        <v>4</v>
      </c>
    </row>
    <row r="4" spans="1:26" ht="15" customHeight="1" thickBot="1" x14ac:dyDescent="0.25">
      <c r="B4" s="368"/>
      <c r="C4" s="369"/>
      <c r="D4" s="369"/>
      <c r="E4" s="369"/>
      <c r="F4" s="369"/>
      <c r="G4" s="370"/>
      <c r="I4" s="403"/>
      <c r="J4" s="404"/>
      <c r="K4" s="405"/>
      <c r="M4" s="398"/>
      <c r="N4" s="399"/>
      <c r="Q4" s="395"/>
      <c r="T4" s="188" t="s">
        <v>5</v>
      </c>
    </row>
    <row r="5" spans="1:26" ht="15" customHeight="1" thickBot="1" x14ac:dyDescent="0.25">
      <c r="I5" s="2" t="s">
        <v>852</v>
      </c>
      <c r="J5" s="3" t="s">
        <v>18</v>
      </c>
      <c r="K5" s="4" t="s">
        <v>19</v>
      </c>
      <c r="M5" s="2" t="s">
        <v>6</v>
      </c>
      <c r="N5" s="29" t="s">
        <v>7</v>
      </c>
      <c r="P5" s="1" t="str">
        <f t="shared" ref="P5:P20" si="0">CONCATENATE($Q$3," ",Q5)</f>
        <v>Grp A</v>
      </c>
      <c r="Q5" s="95" t="s">
        <v>68</v>
      </c>
      <c r="R5" s="1">
        <f>IF(ROW(P5)&lt;$S$5,ROW(P5)+$S$5+1,ROW(P5)-$S$5)</f>
        <v>0</v>
      </c>
      <c r="S5" s="1">
        <f>IFERROR(MATCH(Lifting!A11,Setup!P5:P20,0)+4,0)</f>
        <v>5</v>
      </c>
      <c r="T5" s="188" t="s">
        <v>8</v>
      </c>
    </row>
    <row r="6" spans="1:26" ht="15" customHeight="1" x14ac:dyDescent="0.2">
      <c r="B6" s="365" t="s">
        <v>1236</v>
      </c>
      <c r="C6" s="366"/>
      <c r="D6" s="366"/>
      <c r="E6" s="366"/>
      <c r="F6" s="366"/>
      <c r="G6" s="367"/>
      <c r="I6" s="11" t="s">
        <v>948</v>
      </c>
      <c r="J6" s="61" t="s">
        <v>856</v>
      </c>
      <c r="K6" s="24">
        <v>1</v>
      </c>
      <c r="M6" s="10"/>
      <c r="N6" s="24"/>
      <c r="P6" s="1" t="str">
        <f t="shared" si="0"/>
        <v>Grp B</v>
      </c>
      <c r="Q6" s="96" t="s">
        <v>70</v>
      </c>
      <c r="R6" s="1">
        <f t="shared" ref="R6:R20" si="1">IF(ROW(P6)&lt;$S$5,ROW(P6)+$S$5+1,ROW(P6)-$S$5)</f>
        <v>1</v>
      </c>
      <c r="T6" s="188" t="s">
        <v>9</v>
      </c>
    </row>
    <row r="7" spans="1:26" ht="15" customHeight="1" thickBot="1" x14ac:dyDescent="0.25">
      <c r="B7" s="368"/>
      <c r="C7" s="369"/>
      <c r="D7" s="369"/>
      <c r="E7" s="369"/>
      <c r="F7" s="369"/>
      <c r="G7" s="370"/>
      <c r="I7" s="11" t="s">
        <v>950</v>
      </c>
      <c r="J7" s="61" t="s">
        <v>858</v>
      </c>
      <c r="K7" s="24">
        <v>1</v>
      </c>
      <c r="M7" s="10"/>
      <c r="N7" s="24"/>
      <c r="P7" s="1" t="str">
        <f t="shared" si="0"/>
        <v>Grp C</v>
      </c>
      <c r="Q7" s="96" t="s">
        <v>1233</v>
      </c>
      <c r="R7" s="1">
        <f t="shared" si="1"/>
        <v>2</v>
      </c>
      <c r="T7" s="188"/>
    </row>
    <row r="8" spans="1:26" ht="15" customHeight="1" thickBot="1" x14ac:dyDescent="0.25">
      <c r="I8" s="11" t="s">
        <v>924</v>
      </c>
      <c r="J8" s="61" t="s">
        <v>770</v>
      </c>
      <c r="K8" s="24">
        <v>1</v>
      </c>
      <c r="M8" s="10"/>
      <c r="N8" s="24"/>
      <c r="P8" s="1" t="str">
        <f t="shared" si="0"/>
        <v>Grp D</v>
      </c>
      <c r="Q8" s="96" t="s">
        <v>1234</v>
      </c>
      <c r="R8" s="1">
        <f t="shared" si="1"/>
        <v>3</v>
      </c>
    </row>
    <row r="9" spans="1:26" ht="15" customHeight="1" x14ac:dyDescent="0.2">
      <c r="B9" s="371" t="s">
        <v>0</v>
      </c>
      <c r="C9" s="366"/>
      <c r="D9" s="366"/>
      <c r="E9" s="366"/>
      <c r="F9" s="366"/>
      <c r="G9" s="367"/>
      <c r="I9" s="11" t="s">
        <v>925</v>
      </c>
      <c r="J9" s="61" t="s">
        <v>860</v>
      </c>
      <c r="K9" s="24">
        <v>1</v>
      </c>
      <c r="M9" s="10"/>
      <c r="N9" s="24"/>
      <c r="P9" s="1" t="str">
        <f t="shared" si="0"/>
        <v xml:space="preserve">Grp </v>
      </c>
      <c r="Q9" s="96"/>
      <c r="R9" s="1">
        <f t="shared" si="1"/>
        <v>4</v>
      </c>
      <c r="T9" s="1" t="s">
        <v>794</v>
      </c>
    </row>
    <row r="10" spans="1:26" ht="15" customHeight="1" thickBot="1" x14ac:dyDescent="0.25">
      <c r="B10" s="368"/>
      <c r="C10" s="369"/>
      <c r="D10" s="369"/>
      <c r="E10" s="369"/>
      <c r="F10" s="369"/>
      <c r="G10" s="370"/>
      <c r="I10" s="11" t="s">
        <v>926</v>
      </c>
      <c r="J10" s="61" t="s">
        <v>862</v>
      </c>
      <c r="K10" s="24">
        <v>1</v>
      </c>
      <c r="M10" s="10"/>
      <c r="N10" s="24"/>
      <c r="P10" s="1" t="str">
        <f t="shared" si="0"/>
        <v xml:space="preserve">Grp </v>
      </c>
      <c r="Q10" s="96"/>
      <c r="R10" s="1">
        <f t="shared" si="1"/>
        <v>5</v>
      </c>
    </row>
    <row r="11" spans="1:26" ht="15" customHeight="1" thickBot="1" x14ac:dyDescent="0.25">
      <c r="B11"/>
      <c r="C11"/>
      <c r="D11"/>
      <c r="E11"/>
      <c r="F11"/>
      <c r="G11"/>
      <c r="I11" s="11" t="s">
        <v>927</v>
      </c>
      <c r="J11" s="61" t="s">
        <v>864</v>
      </c>
      <c r="K11" s="24">
        <v>1</v>
      </c>
      <c r="M11" s="10"/>
      <c r="N11" s="24"/>
      <c r="P11" s="1" t="str">
        <f t="shared" si="0"/>
        <v xml:space="preserve">Grp </v>
      </c>
      <c r="Q11" s="96"/>
      <c r="R11" s="1">
        <f t="shared" si="1"/>
        <v>6</v>
      </c>
    </row>
    <row r="12" spans="1:26" ht="15" customHeight="1" x14ac:dyDescent="0.2">
      <c r="B12" s="372" t="s">
        <v>1237</v>
      </c>
      <c r="C12" s="366"/>
      <c r="D12" s="366"/>
      <c r="E12" s="366"/>
      <c r="F12" s="366"/>
      <c r="G12" s="367"/>
      <c r="I12" s="11" t="s">
        <v>928</v>
      </c>
      <c r="J12" s="61" t="s">
        <v>866</v>
      </c>
      <c r="K12" s="24">
        <v>1</v>
      </c>
      <c r="M12" s="10"/>
      <c r="N12" s="24"/>
      <c r="P12" s="1" t="str">
        <f t="shared" si="0"/>
        <v xml:space="preserve">Grp </v>
      </c>
      <c r="Q12" s="96"/>
      <c r="R12" s="1">
        <f t="shared" si="1"/>
        <v>7</v>
      </c>
    </row>
    <row r="13" spans="1:26" ht="15" customHeight="1" thickBot="1" x14ac:dyDescent="0.25">
      <c r="B13" s="368"/>
      <c r="C13" s="369"/>
      <c r="D13" s="369"/>
      <c r="E13" s="369"/>
      <c r="F13" s="369"/>
      <c r="G13" s="370"/>
      <c r="I13" s="11" t="s">
        <v>947</v>
      </c>
      <c r="J13" s="61" t="s">
        <v>868</v>
      </c>
      <c r="K13" s="24">
        <v>1</v>
      </c>
      <c r="M13" s="10"/>
      <c r="N13" s="24"/>
      <c r="P13" s="1" t="str">
        <f t="shared" si="0"/>
        <v xml:space="preserve">Grp </v>
      </c>
      <c r="Q13" s="96"/>
      <c r="R13" s="1">
        <f t="shared" si="1"/>
        <v>8</v>
      </c>
    </row>
    <row r="14" spans="1:26" ht="15" customHeight="1" thickBot="1" x14ac:dyDescent="0.25">
      <c r="I14" s="11" t="s">
        <v>951</v>
      </c>
      <c r="J14" s="61" t="s">
        <v>870</v>
      </c>
      <c r="K14" s="24">
        <v>1</v>
      </c>
      <c r="M14" s="10"/>
      <c r="N14" s="24"/>
      <c r="P14" s="1" t="str">
        <f t="shared" si="0"/>
        <v xml:space="preserve">Grp </v>
      </c>
      <c r="Q14" s="96"/>
      <c r="R14" s="1">
        <f t="shared" si="1"/>
        <v>9</v>
      </c>
    </row>
    <row r="15" spans="1:26" ht="15" customHeight="1" x14ac:dyDescent="0.2">
      <c r="B15" s="373" t="s">
        <v>1</v>
      </c>
      <c r="C15" s="374"/>
      <c r="D15" s="375"/>
      <c r="E15" s="379" t="s">
        <v>2</v>
      </c>
      <c r="F15" s="380"/>
      <c r="G15" s="383" t="s">
        <v>799</v>
      </c>
      <c r="I15" s="11" t="s">
        <v>929</v>
      </c>
      <c r="J15" s="61" t="s">
        <v>771</v>
      </c>
      <c r="K15" s="24">
        <v>1</v>
      </c>
      <c r="M15" s="10"/>
      <c r="N15" s="24"/>
      <c r="P15" s="1" t="str">
        <f t="shared" si="0"/>
        <v xml:space="preserve">Grp </v>
      </c>
      <c r="Q15" s="96"/>
      <c r="R15" s="1">
        <f t="shared" si="1"/>
        <v>10</v>
      </c>
    </row>
    <row r="16" spans="1:26" ht="15" customHeight="1" thickBot="1" x14ac:dyDescent="0.25">
      <c r="B16" s="376"/>
      <c r="C16" s="377"/>
      <c r="D16" s="378"/>
      <c r="E16" s="381"/>
      <c r="F16" s="382"/>
      <c r="G16" s="384"/>
      <c r="I16" s="11" t="s">
        <v>930</v>
      </c>
      <c r="J16" s="61" t="s">
        <v>872</v>
      </c>
      <c r="K16" s="24">
        <v>1</v>
      </c>
      <c r="M16" s="10"/>
      <c r="N16" s="24"/>
      <c r="P16" s="1" t="str">
        <f t="shared" si="0"/>
        <v xml:space="preserve">Grp </v>
      </c>
      <c r="Q16" s="96"/>
      <c r="R16" s="1">
        <f t="shared" si="1"/>
        <v>11</v>
      </c>
    </row>
    <row r="17" spans="2:25" ht="15" customHeight="1" x14ac:dyDescent="0.2">
      <c r="B17" s="2"/>
      <c r="C17" s="3" t="str">
        <f>G15</f>
        <v>Kg</v>
      </c>
      <c r="D17" s="4"/>
      <c r="E17" s="13" t="s">
        <v>431</v>
      </c>
      <c r="F17" s="5" t="str">
        <f>G15</f>
        <v>Kg</v>
      </c>
      <c r="G17" s="6"/>
      <c r="I17" s="11" t="s">
        <v>931</v>
      </c>
      <c r="J17" s="61" t="s">
        <v>874</v>
      </c>
      <c r="K17" s="24">
        <v>1</v>
      </c>
      <c r="M17" s="10"/>
      <c r="N17" s="24"/>
      <c r="P17" s="1" t="str">
        <f t="shared" si="0"/>
        <v xml:space="preserve">Grp </v>
      </c>
      <c r="Q17" s="96"/>
      <c r="R17" s="1">
        <f t="shared" si="1"/>
        <v>12</v>
      </c>
    </row>
    <row r="18" spans="2:25" ht="15" customHeight="1" x14ac:dyDescent="0.2">
      <c r="B18" s="7"/>
      <c r="C18" s="8">
        <f ca="1">Lists!B36</f>
        <v>70</v>
      </c>
      <c r="D18" s="9">
        <f ca="1">2*(D21*C21+D22*C22+D23*C23+D24*C24+D25*C25+D26*C26+D27*C27+D28*C28+D29*C29+D30*C30+D31*C31)+D32</f>
        <v>55</v>
      </c>
      <c r="E18" s="5"/>
      <c r="F18" s="5">
        <f ca="1">C18</f>
        <v>70</v>
      </c>
      <c r="G18" s="6">
        <f ca="1">2*(G21*F21+G22*F22+G23*F23+G24*F24+G25*F25+G26*F26+F27*G27+G28*F28+G29*F29+G30*F30+G31*F31)+G32</f>
        <v>70</v>
      </c>
      <c r="I18" s="11" t="s">
        <v>932</v>
      </c>
      <c r="J18" s="61" t="s">
        <v>876</v>
      </c>
      <c r="K18" s="24">
        <v>1</v>
      </c>
      <c r="M18" s="10"/>
      <c r="N18" s="24"/>
      <c r="P18" s="1" t="str">
        <f t="shared" si="0"/>
        <v xml:space="preserve">Grp </v>
      </c>
      <c r="Q18" s="96"/>
      <c r="R18" s="1">
        <f t="shared" si="1"/>
        <v>13</v>
      </c>
    </row>
    <row r="19" spans="2:25" ht="15" customHeight="1" x14ac:dyDescent="0.2">
      <c r="B19" s="7" t="s">
        <v>10</v>
      </c>
      <c r="C19" s="8" t="s">
        <v>11</v>
      </c>
      <c r="D19" s="9" t="s">
        <v>12</v>
      </c>
      <c r="E19" s="5" t="s">
        <v>10</v>
      </c>
      <c r="F19" s="5" t="s">
        <v>13</v>
      </c>
      <c r="G19" s="6" t="s">
        <v>12</v>
      </c>
      <c r="I19" s="11" t="s">
        <v>933</v>
      </c>
      <c r="J19" s="61" t="s">
        <v>878</v>
      </c>
      <c r="K19" s="24">
        <v>1</v>
      </c>
      <c r="M19" s="10"/>
      <c r="N19" s="24"/>
      <c r="P19" s="1" t="str">
        <f t="shared" si="0"/>
        <v xml:space="preserve">Grp </v>
      </c>
      <c r="Q19" s="96"/>
      <c r="R19" s="1">
        <f t="shared" si="1"/>
        <v>14</v>
      </c>
    </row>
    <row r="20" spans="2:25" ht="15" customHeight="1" thickBot="1" x14ac:dyDescent="0.25">
      <c r="B20" s="7" t="s">
        <v>14</v>
      </c>
      <c r="C20" s="8" t="s">
        <v>15</v>
      </c>
      <c r="D20" s="9" t="s">
        <v>16</v>
      </c>
      <c r="E20" s="5" t="s">
        <v>14</v>
      </c>
      <c r="F20" s="5" t="s">
        <v>15</v>
      </c>
      <c r="G20" s="6" t="s">
        <v>16</v>
      </c>
      <c r="I20" s="11" t="s">
        <v>949</v>
      </c>
      <c r="J20" s="61" t="s">
        <v>934</v>
      </c>
      <c r="K20" s="24">
        <v>1</v>
      </c>
      <c r="M20" s="10"/>
      <c r="N20" s="24"/>
      <c r="P20" s="1" t="str">
        <f t="shared" si="0"/>
        <v xml:space="preserve">Grp </v>
      </c>
      <c r="Q20" s="97"/>
      <c r="R20" s="1">
        <f t="shared" si="1"/>
        <v>15</v>
      </c>
    </row>
    <row r="21" spans="2:25" ht="15" customHeight="1" x14ac:dyDescent="0.2">
      <c r="B21" s="11">
        <v>0</v>
      </c>
      <c r="C21" s="12">
        <v>110</v>
      </c>
      <c r="D21" s="9">
        <f ca="1">IF(OR(C18&lt;D32,C17="Kg"),0,MIN(INT((C18-D32)/(2*C21)),B21/2))</f>
        <v>0</v>
      </c>
      <c r="E21" s="13">
        <v>0</v>
      </c>
      <c r="F21" s="14">
        <v>50</v>
      </c>
      <c r="G21" s="6">
        <f ca="1">IF(OR(C18&lt;G32,F17="Lb"),0,MIN(INT((F18-G32)/(2*F21)),E21/2))</f>
        <v>0</v>
      </c>
      <c r="I21" s="11" t="s">
        <v>952</v>
      </c>
      <c r="J21" s="60" t="s">
        <v>935</v>
      </c>
      <c r="K21" s="24">
        <v>1</v>
      </c>
      <c r="M21" s="10"/>
      <c r="N21" s="24"/>
    </row>
    <row r="22" spans="2:25" ht="15" customHeight="1" x14ac:dyDescent="0.2">
      <c r="B22" s="11">
        <v>0</v>
      </c>
      <c r="C22" s="15">
        <v>100</v>
      </c>
      <c r="D22" s="9">
        <f ca="1">IF(OR(C18&lt;D32,C17="Kg"),0,MIN(INT((C18-D32-2*D21*C21)/(2*C22)),B22/2))</f>
        <v>0</v>
      </c>
      <c r="E22" s="13">
        <v>0</v>
      </c>
      <c r="F22" s="16">
        <v>45</v>
      </c>
      <c r="G22" s="6">
        <f ca="1">IF(OR(C18&lt;G32,F17="Lb"),0,MIN(INT((F18-G32-2*G21*F21)/(2*F22)),E22/2))</f>
        <v>0</v>
      </c>
      <c r="I22" s="26" t="s">
        <v>631</v>
      </c>
      <c r="J22" s="60" t="s">
        <v>717</v>
      </c>
      <c r="K22" s="24">
        <v>1</v>
      </c>
      <c r="M22" s="10"/>
      <c r="N22" s="24"/>
      <c r="Y22" t="s">
        <v>1124</v>
      </c>
    </row>
    <row r="23" spans="2:25" ht="15" customHeight="1" x14ac:dyDescent="0.2">
      <c r="B23" s="11">
        <v>0</v>
      </c>
      <c r="C23" s="17">
        <v>55</v>
      </c>
      <c r="D23" s="9">
        <f ca="1">IF(OR(C18&lt;D32,C17="Kg"),0,MIN(INT((C18-D32-2*D21*C21-2*D22*C22)/(2*C23)),B23/2))</f>
        <v>0</v>
      </c>
      <c r="E23" s="13">
        <v>12</v>
      </c>
      <c r="F23" s="18">
        <v>25</v>
      </c>
      <c r="G23" s="6">
        <f ca="1">IF(OR(C18&lt;G32,F17="Lb"),0,MIN(INT((F18-G32-2*G21*F21-2*G22*F22)/(2*F23)),E23/2))</f>
        <v>0</v>
      </c>
      <c r="I23" s="26" t="s">
        <v>884</v>
      </c>
      <c r="J23" s="60" t="s">
        <v>936</v>
      </c>
      <c r="K23" s="24">
        <v>1</v>
      </c>
      <c r="M23" s="10"/>
      <c r="N23" s="24"/>
    </row>
    <row r="24" spans="2:25" ht="15" customHeight="1" x14ac:dyDescent="0.2">
      <c r="B24" s="11">
        <v>16</v>
      </c>
      <c r="C24" s="19">
        <v>45</v>
      </c>
      <c r="D24" s="9">
        <f ca="1">IF(OR(C18&lt;D32,C17="Kg"),0,MIN(INT((C18-D32-2*D21*C21-2*D22*C22-2*D23*C23)/(2*C24)),B24/2))</f>
        <v>0</v>
      </c>
      <c r="E24" s="13">
        <v>2</v>
      </c>
      <c r="F24" s="20">
        <v>20</v>
      </c>
      <c r="G24" s="6">
        <f ca="1">IF(OR(C18&lt;G32,F17="Lb"),0,MIN(INT((F18-G32-2*G21*F21-2*G22*F22-2*G23*F23)/(2*F24)),E24/2))</f>
        <v>1</v>
      </c>
      <c r="I24" s="26" t="s">
        <v>886</v>
      </c>
      <c r="J24" s="60" t="s">
        <v>937</v>
      </c>
      <c r="K24" s="24">
        <v>1</v>
      </c>
      <c r="M24" s="10"/>
      <c r="N24" s="24"/>
    </row>
    <row r="25" spans="2:25" ht="15" customHeight="1" x14ac:dyDescent="0.2">
      <c r="B25" s="11">
        <v>2</v>
      </c>
      <c r="C25" s="21">
        <v>35</v>
      </c>
      <c r="D25" s="9">
        <f ca="1">IF(OR(C18&lt;D32,C17="Kg"),0,MIN(INT((C18-D32-2*D21*C21-2*D22*C22-2*D23*C23-2*D24*C24)/(2*C25)),B25/2))</f>
        <v>0</v>
      </c>
      <c r="E25" s="13">
        <v>2</v>
      </c>
      <c r="F25" s="22">
        <v>15</v>
      </c>
      <c r="G25" s="6">
        <f ca="1">IF(OR(C18&lt;G32,F17="Lb"),0,MIN(INT((F18-G32-2*G21*F21-2*G22*F22-2*G23*F23-2*G24*F24)/(2*F25)),E25/2))</f>
        <v>0</v>
      </c>
      <c r="I25" s="26" t="s">
        <v>888</v>
      </c>
      <c r="J25" s="60" t="s">
        <v>938</v>
      </c>
      <c r="K25" s="24">
        <v>1</v>
      </c>
      <c r="M25" s="10"/>
      <c r="N25" s="24"/>
    </row>
    <row r="26" spans="2:25" ht="15" customHeight="1" x14ac:dyDescent="0.2">
      <c r="B26" s="11">
        <v>2</v>
      </c>
      <c r="C26" s="8">
        <v>25</v>
      </c>
      <c r="D26" s="9">
        <f ca="1">IF(OR(C18&lt;D32,C17="Kg"),0,MIN(INT((C18-D32-2*D21*C21-2*D22*C22-2*D23*C23-2*D24*C24-2*D25*C25)/(2*C26)),B26/2))</f>
        <v>0</v>
      </c>
      <c r="E26" s="13">
        <v>2</v>
      </c>
      <c r="F26" s="107">
        <v>10</v>
      </c>
      <c r="G26" s="6">
        <f ca="1">IF(OR(C18&lt;G32,F17="Lb"),0,MIN(INT((F18-G32-2*G21*F21-2*G22*F22-2*G23*F23-2*G24*F24-2*G25*F25)/(2*F26)),E26/2))</f>
        <v>0</v>
      </c>
      <c r="I26" s="26" t="s">
        <v>890</v>
      </c>
      <c r="J26" s="60" t="s">
        <v>939</v>
      </c>
      <c r="K26" s="24">
        <v>1</v>
      </c>
      <c r="M26" s="10"/>
      <c r="N26" s="24"/>
    </row>
    <row r="27" spans="2:25" ht="15" customHeight="1" x14ac:dyDescent="0.2">
      <c r="B27" s="11">
        <v>4</v>
      </c>
      <c r="C27" s="8">
        <v>10</v>
      </c>
      <c r="D27" s="9">
        <f ca="1">IF(OR(C18&lt;D32,C17="Kg"),0,MIN(INT((C18-D32-2*D21*C21-2*D22*C22-2*D23*C23-2*D24*C24-2*D25*C25-2*D26*C26)/(2*C27)),B27/2))</f>
        <v>0</v>
      </c>
      <c r="E27" s="13">
        <v>2</v>
      </c>
      <c r="F27" s="108">
        <v>5</v>
      </c>
      <c r="G27" s="6">
        <f ca="1">IF(OR(C18&lt;G32,F17="Lb"),0,MIN(INT((F18-G32-2*G21*F21-2*G22*F22-2*G23*F23-2*G24*F24-2*G25*F25-2*F26*G26)/(2*F27)),E27/2))</f>
        <v>0</v>
      </c>
      <c r="I27" s="26" t="s">
        <v>940</v>
      </c>
      <c r="J27" s="60" t="s">
        <v>941</v>
      </c>
      <c r="K27" s="24">
        <v>1</v>
      </c>
      <c r="M27" s="10"/>
      <c r="N27" s="24"/>
    </row>
    <row r="28" spans="2:25" ht="15" customHeight="1" x14ac:dyDescent="0.2">
      <c r="B28" s="11">
        <v>2</v>
      </c>
      <c r="C28" s="8">
        <v>5</v>
      </c>
      <c r="D28" s="9">
        <f ca="1">IF(OR(C18&lt;D32,C17="Kg"),0,MIN(INT((C18-D32-2*D21*C21-2*D22*C22-2*D23*C23-2*D24*C24-2*D25*C25-2*D26*C26-2*D27*C27)/(2*C28)),B28/2))</f>
        <v>0</v>
      </c>
      <c r="E28" s="13">
        <v>2</v>
      </c>
      <c r="F28" s="108">
        <v>2.5</v>
      </c>
      <c r="G28" s="6">
        <f ca="1">IF(OR(C18&lt;G32,F17="Lb"),0,MIN(INT((F18-G32-2*G21*F21-2*G22*F22-2*G23*F23-2*G24*F24-2*G25*F25-2*F26*G26-2*F27*G27)/(2*F28)),E28/2))</f>
        <v>1</v>
      </c>
      <c r="I28" s="11" t="s">
        <v>646</v>
      </c>
      <c r="J28" s="61" t="s">
        <v>942</v>
      </c>
      <c r="K28" s="24">
        <v>1</v>
      </c>
      <c r="M28" s="10"/>
      <c r="N28" s="24"/>
    </row>
    <row r="29" spans="2:25" ht="15" customHeight="1" x14ac:dyDescent="0.2">
      <c r="B29" s="11">
        <v>2</v>
      </c>
      <c r="C29" s="8">
        <v>2.5</v>
      </c>
      <c r="D29" s="9">
        <f ca="1">IF(OR(C18&lt;D32,C17="Kg"),0,MIN(INT((C18-D32-2*D21*C21-2*D22*C22-2*D23*C23-2*D24*C24-2*D25*C25-2*D26*C26-2*D27*C27-2*D28*C28)/(2*C29)),B29/2))</f>
        <v>0</v>
      </c>
      <c r="E29" s="13">
        <v>2</v>
      </c>
      <c r="F29" s="108">
        <v>1.25</v>
      </c>
      <c r="G29" s="6">
        <f ca="1">IF(OR(C18&lt;G32,F17="Lb"),0,MIN(INT((F18-G32-2*G21*F21-2*G22*F22-2*G23*F23-2*G24*F24-2*G25*F25-2*F26*G26-2*F27*G27-2*G28*F28)/(2*F29)),E29/2))</f>
        <v>0</v>
      </c>
      <c r="I29" s="11" t="s">
        <v>588</v>
      </c>
      <c r="J29" s="61" t="s">
        <v>718</v>
      </c>
      <c r="K29" s="24">
        <v>1</v>
      </c>
      <c r="M29" s="10"/>
      <c r="N29" s="24"/>
    </row>
    <row r="30" spans="2:25" ht="15" customHeight="1" x14ac:dyDescent="0.2">
      <c r="B30" s="11">
        <v>4</v>
      </c>
      <c r="C30" s="8">
        <v>1.25</v>
      </c>
      <c r="D30" s="9">
        <f ca="1">IF(OR(C18&lt;D32,C17="Kg"),0,MIN(INT((C18-D32-2*D21*C21-2*D22*C22-2*D23*C23-2*D24*C24-2*D25*C25-2*D26*C26-2*D27*C27-2*D28*C28-2*D29*C29)/(2*C30)),B30/2))</f>
        <v>0</v>
      </c>
      <c r="E30" s="13">
        <v>2</v>
      </c>
      <c r="F30" s="5">
        <v>0.5</v>
      </c>
      <c r="G30" s="6">
        <f ca="1">IF(OR(C18&lt;G32,F17="Lb"),0,MIN(INT((F18-G32-2*G21*F21-2*G22*F22-2*G23*F23-2*G24*F24-2*G25*F25-2*F26*G26-2*G27*F27-2*G28*F28-2*G29*F29)/(2*F30)),E30/2))</f>
        <v>0</v>
      </c>
      <c r="I30" s="11" t="s">
        <v>897</v>
      </c>
      <c r="J30" s="61" t="s">
        <v>943</v>
      </c>
      <c r="K30" s="24">
        <v>1</v>
      </c>
      <c r="M30" s="10"/>
      <c r="N30" s="24"/>
    </row>
    <row r="31" spans="2:25" ht="15" customHeight="1" x14ac:dyDescent="0.2">
      <c r="B31" s="11">
        <v>2</v>
      </c>
      <c r="C31" s="8">
        <v>0.5</v>
      </c>
      <c r="D31" s="9">
        <f ca="1">IF(OR(C18&lt;D32,C17="Kg"),0,MIN(INT((C18-D32-2*D21*C21-2*D22*C22-2*D23*C23-2*D24*C24-2*D25*C25-2*D26*C26-2*D27*C27-2*D28*C28-2*D29*C29-2*D30*C30)/(2*C31)),B31/2))</f>
        <v>0</v>
      </c>
      <c r="E31" s="13">
        <v>2</v>
      </c>
      <c r="F31" s="5">
        <v>0.25</v>
      </c>
      <c r="G31" s="6">
        <f ca="1">IF(OR(C18&lt;G32,F17="Lb"),0,MIN(INT((F18-G32-2*G21*F21-2*G22*F22-2*G23*F23-2*G24*F24-2*G25*F25-2*G26*F26-2*G27*F27-2*G28*F28-2*G29*F29-2*G30*F30)/(2*F31)),E31/2))</f>
        <v>0</v>
      </c>
      <c r="I31" s="11" t="s">
        <v>899</v>
      </c>
      <c r="J31" s="61" t="s">
        <v>944</v>
      </c>
      <c r="K31" s="24">
        <v>1</v>
      </c>
      <c r="M31" s="10"/>
      <c r="N31" s="24"/>
    </row>
    <row r="32" spans="2:25" ht="15" customHeight="1" x14ac:dyDescent="0.2">
      <c r="B32" s="106" t="s">
        <v>21</v>
      </c>
      <c r="C32" s="101"/>
      <c r="D32" s="24">
        <v>55</v>
      </c>
      <c r="E32" s="106" t="s">
        <v>21</v>
      </c>
      <c r="F32" s="102"/>
      <c r="G32" s="23">
        <v>25</v>
      </c>
      <c r="I32" s="11" t="s">
        <v>901</v>
      </c>
      <c r="J32" s="61" t="s">
        <v>945</v>
      </c>
      <c r="K32" s="24">
        <v>1</v>
      </c>
      <c r="M32" s="10"/>
      <c r="N32" s="24"/>
    </row>
    <row r="33" spans="2:27" ht="15" customHeight="1" x14ac:dyDescent="0.2">
      <c r="B33" s="385">
        <f>B21*C21+B22*C22+B23*C23+B24*C24+B25*C25+B26*C26+B27*C27+B28*C28+B29*C29+B30*C30+B31*C31+D32</f>
        <v>956</v>
      </c>
      <c r="C33" s="387" t="s">
        <v>22</v>
      </c>
      <c r="D33" s="388"/>
      <c r="E33" s="391">
        <f>E21*F21+E22*F22+E23*F23+E24*F24+E25*F25+E26*F26+E27*F27+E28*F28+E29*F29+E30*F30+E31*F31+G32</f>
        <v>434</v>
      </c>
      <c r="F33" s="387" t="s">
        <v>23</v>
      </c>
      <c r="G33" s="388"/>
      <c r="I33" s="11" t="s">
        <v>903</v>
      </c>
      <c r="J33" s="61" t="s">
        <v>946</v>
      </c>
      <c r="K33" s="24">
        <v>1</v>
      </c>
      <c r="M33" s="10"/>
      <c r="N33" s="24"/>
    </row>
    <row r="34" spans="2:27" ht="15" customHeight="1" thickBot="1" x14ac:dyDescent="0.25">
      <c r="B34" s="386"/>
      <c r="C34" s="389"/>
      <c r="D34" s="390"/>
      <c r="E34" s="392"/>
      <c r="F34" s="389"/>
      <c r="G34" s="390"/>
      <c r="I34" s="11" t="s">
        <v>956</v>
      </c>
      <c r="J34" s="61" t="s">
        <v>770</v>
      </c>
      <c r="K34" s="24">
        <v>1</v>
      </c>
      <c r="M34" s="10"/>
      <c r="N34" s="24"/>
    </row>
    <row r="35" spans="2:27" ht="15" customHeight="1" x14ac:dyDescent="0.2">
      <c r="I35" s="11" t="s">
        <v>953</v>
      </c>
      <c r="J35" s="60" t="s">
        <v>717</v>
      </c>
      <c r="K35" s="24">
        <v>1</v>
      </c>
      <c r="M35" s="10"/>
      <c r="N35" s="24"/>
    </row>
    <row r="36" spans="2:27" ht="15" customHeight="1" x14ac:dyDescent="0.2">
      <c r="B36" s="36"/>
      <c r="C36" s="36"/>
      <c r="D36" s="36"/>
      <c r="E36" s="36"/>
      <c r="F36" s="36"/>
      <c r="G36" s="36"/>
      <c r="I36" s="11" t="s">
        <v>954</v>
      </c>
      <c r="J36" s="61" t="s">
        <v>957</v>
      </c>
      <c r="K36" s="24">
        <v>1</v>
      </c>
      <c r="M36" s="10"/>
      <c r="N36" s="24"/>
    </row>
    <row r="37" spans="2:27" ht="15" customHeight="1" x14ac:dyDescent="0.2">
      <c r="B37" s="36"/>
      <c r="C37" s="36"/>
      <c r="D37" s="36"/>
      <c r="E37" s="36"/>
      <c r="F37" s="36"/>
      <c r="G37" s="36"/>
      <c r="I37" s="11" t="s">
        <v>955</v>
      </c>
      <c r="J37" s="61" t="s">
        <v>718</v>
      </c>
      <c r="K37" s="24">
        <v>1</v>
      </c>
      <c r="M37" s="10"/>
      <c r="N37" s="24"/>
    </row>
    <row r="38" spans="2:27" ht="15" customHeight="1" x14ac:dyDescent="0.2">
      <c r="B38" s="36"/>
      <c r="C38" s="36"/>
      <c r="D38" s="36"/>
      <c r="E38" s="36"/>
      <c r="F38" s="36"/>
      <c r="G38" s="36"/>
      <c r="I38" s="11"/>
      <c r="J38" s="61"/>
      <c r="K38" s="24"/>
      <c r="M38" s="10"/>
      <c r="N38" s="24"/>
      <c r="V38" s="364"/>
      <c r="W38" s="364"/>
      <c r="X38" s="364"/>
      <c r="Y38" s="364"/>
      <c r="Z38" s="364"/>
      <c r="AA38" s="364"/>
    </row>
    <row r="39" spans="2:27" ht="15" customHeight="1" x14ac:dyDescent="0.2">
      <c r="B39" s="36"/>
      <c r="C39" s="36"/>
      <c r="D39" s="36"/>
      <c r="E39" s="36"/>
      <c r="F39" s="36"/>
      <c r="G39" s="36"/>
      <c r="I39" s="11"/>
      <c r="J39" s="61"/>
      <c r="K39" s="24"/>
      <c r="M39" s="10"/>
      <c r="N39" s="24"/>
    </row>
    <row r="40" spans="2:27" ht="15" customHeight="1" x14ac:dyDescent="0.2">
      <c r="B40" s="36"/>
      <c r="C40" s="36"/>
      <c r="D40" s="36"/>
      <c r="E40" s="36"/>
      <c r="F40" s="36"/>
      <c r="G40" s="36"/>
      <c r="I40" s="11"/>
      <c r="J40" s="61"/>
      <c r="K40" s="24"/>
      <c r="M40" s="10"/>
      <c r="N40" s="24"/>
      <c r="Q40" s="364"/>
      <c r="R40" s="364"/>
      <c r="S40" s="364"/>
      <c r="T40" s="364"/>
      <c r="U40" s="364"/>
      <c r="V40" s="364"/>
    </row>
    <row r="41" spans="2:27" ht="15" customHeight="1" x14ac:dyDescent="0.2">
      <c r="B41" s="36"/>
      <c r="C41" s="36"/>
      <c r="D41" s="36"/>
      <c r="E41" s="36"/>
      <c r="F41" s="36"/>
      <c r="G41" s="36"/>
      <c r="I41" s="11"/>
      <c r="J41" s="61"/>
      <c r="K41" s="24"/>
      <c r="M41" s="10"/>
      <c r="N41" s="24"/>
    </row>
    <row r="42" spans="2:27" ht="15" customHeight="1" x14ac:dyDescent="0.2">
      <c r="B42" s="36"/>
      <c r="C42" s="36"/>
      <c r="D42" s="36"/>
      <c r="E42" s="36"/>
      <c r="F42" s="36"/>
      <c r="G42" s="36"/>
      <c r="I42" s="11"/>
      <c r="J42" s="61"/>
      <c r="K42" s="24"/>
      <c r="M42" s="10"/>
      <c r="N42" s="24"/>
    </row>
    <row r="43" spans="2:27" ht="15" customHeight="1" x14ac:dyDescent="0.2">
      <c r="B43" s="36"/>
      <c r="C43" s="36"/>
      <c r="D43" s="36"/>
      <c r="E43" s="36"/>
      <c r="F43" s="36"/>
      <c r="G43" s="36"/>
      <c r="I43" s="11"/>
      <c r="J43" s="61"/>
      <c r="K43" s="24"/>
      <c r="M43" s="10"/>
      <c r="N43" s="24"/>
    </row>
    <row r="44" spans="2:27" ht="15" customHeight="1" x14ac:dyDescent="0.2">
      <c r="B44" s="36"/>
      <c r="C44" s="36"/>
      <c r="D44" s="36"/>
      <c r="E44" s="36"/>
      <c r="F44" s="36"/>
      <c r="G44" s="36"/>
      <c r="I44" s="11"/>
      <c r="J44" s="61"/>
      <c r="K44" s="24"/>
      <c r="M44" s="10"/>
      <c r="N44" s="24"/>
    </row>
    <row r="45" spans="2:27" ht="15" customHeight="1" x14ac:dyDescent="0.2">
      <c r="B45" s="36"/>
      <c r="C45" s="36"/>
      <c r="D45" s="36"/>
      <c r="E45" s="36"/>
      <c r="F45" s="36"/>
      <c r="G45" s="36"/>
      <c r="I45" s="11"/>
      <c r="J45" s="61"/>
      <c r="K45" s="24"/>
      <c r="M45" s="10"/>
      <c r="N45" s="24"/>
    </row>
    <row r="46" spans="2:27" ht="15" customHeight="1" x14ac:dyDescent="0.2">
      <c r="B46" s="36"/>
      <c r="C46" s="36"/>
      <c r="D46" s="36"/>
      <c r="E46" s="36"/>
      <c r="F46" s="36"/>
      <c r="G46" s="36"/>
      <c r="I46" s="11"/>
      <c r="J46" s="61"/>
      <c r="K46" s="24"/>
      <c r="M46" s="10"/>
      <c r="N46" s="24"/>
    </row>
    <row r="47" spans="2:27" ht="15" customHeight="1" x14ac:dyDescent="0.2">
      <c r="B47" s="36"/>
      <c r="C47" s="36"/>
      <c r="D47" s="36"/>
      <c r="E47" s="36"/>
      <c r="F47" s="36"/>
      <c r="G47" s="36"/>
      <c r="I47" s="11"/>
      <c r="J47" s="61"/>
      <c r="K47" s="24"/>
      <c r="M47" s="10"/>
      <c r="N47" s="24"/>
    </row>
    <row r="48" spans="2:27" ht="15" customHeight="1" x14ac:dyDescent="0.2">
      <c r="B48" s="36"/>
      <c r="C48" s="36"/>
      <c r="D48" s="36"/>
      <c r="E48" s="36"/>
      <c r="F48" s="36"/>
      <c r="G48" s="36"/>
      <c r="I48" s="11"/>
      <c r="J48" s="61"/>
      <c r="K48" s="24"/>
      <c r="M48" s="10"/>
      <c r="N48" s="24"/>
    </row>
    <row r="49" spans="2:14" ht="15" customHeight="1" x14ac:dyDescent="0.2">
      <c r="B49" s="36"/>
      <c r="C49" s="36"/>
      <c r="D49" s="36"/>
      <c r="E49" s="36"/>
      <c r="F49" s="36"/>
      <c r="G49" s="36"/>
      <c r="I49" s="11"/>
      <c r="J49" s="61"/>
      <c r="K49" s="24"/>
      <c r="M49" s="10"/>
      <c r="N49" s="24"/>
    </row>
    <row r="50" spans="2:14" ht="15" customHeight="1" x14ac:dyDescent="0.2">
      <c r="B50" s="36"/>
      <c r="C50" s="36"/>
      <c r="D50" s="36"/>
      <c r="E50" s="36"/>
      <c r="F50" s="36"/>
      <c r="G50" s="36"/>
      <c r="I50" s="11"/>
      <c r="J50" s="61"/>
      <c r="K50" s="24"/>
      <c r="M50" s="10"/>
      <c r="N50" s="24"/>
    </row>
    <row r="51" spans="2:14" ht="15" customHeight="1" x14ac:dyDescent="0.2">
      <c r="B51" s="36"/>
      <c r="C51" s="36"/>
      <c r="D51" s="36"/>
      <c r="E51" s="36"/>
      <c r="F51" s="36"/>
      <c r="G51" s="36"/>
      <c r="I51" s="11"/>
      <c r="J51" s="61"/>
      <c r="K51" s="24"/>
      <c r="M51" s="10"/>
      <c r="N51" s="24"/>
    </row>
    <row r="52" spans="2:14" ht="15" customHeight="1" x14ac:dyDescent="0.2">
      <c r="B52" s="36"/>
      <c r="C52" s="36"/>
      <c r="D52" s="36"/>
      <c r="E52" s="36"/>
      <c r="F52" s="36"/>
      <c r="G52" s="36"/>
      <c r="I52" s="11"/>
      <c r="J52" s="61"/>
      <c r="K52" s="24"/>
      <c r="M52" s="10"/>
      <c r="N52" s="24"/>
    </row>
    <row r="53" spans="2:14" ht="15" customHeight="1" x14ac:dyDescent="0.2">
      <c r="B53" s="36"/>
      <c r="C53" s="36"/>
      <c r="D53" s="36"/>
      <c r="E53" s="36"/>
      <c r="F53" s="36"/>
      <c r="G53" s="36"/>
      <c r="I53" s="11"/>
      <c r="J53" s="61"/>
      <c r="K53" s="24"/>
      <c r="M53" s="10"/>
      <c r="N53" s="24"/>
    </row>
    <row r="54" spans="2:14" ht="15" customHeight="1" x14ac:dyDescent="0.2">
      <c r="B54" s="36"/>
      <c r="C54" s="36"/>
      <c r="D54" s="36"/>
      <c r="E54" s="36"/>
      <c r="F54" s="36"/>
      <c r="G54" s="36"/>
      <c r="I54" s="11"/>
      <c r="J54" s="61"/>
      <c r="K54" s="24"/>
      <c r="M54" s="10"/>
      <c r="N54" s="24"/>
    </row>
    <row r="55" spans="2:14" ht="15" customHeight="1" x14ac:dyDescent="0.2">
      <c r="B55" s="36"/>
      <c r="C55" s="36"/>
      <c r="D55" s="36"/>
      <c r="E55" s="36"/>
      <c r="F55" s="36"/>
      <c r="G55" s="36"/>
      <c r="I55" s="11"/>
      <c r="J55" s="61"/>
      <c r="K55" s="24"/>
      <c r="M55" s="10"/>
      <c r="N55" s="24"/>
    </row>
    <row r="56" spans="2:14" ht="15" customHeight="1" x14ac:dyDescent="0.2">
      <c r="B56" s="36"/>
      <c r="C56" s="36"/>
      <c r="D56" s="36"/>
      <c r="E56" s="36"/>
      <c r="F56" s="36"/>
      <c r="G56" s="36"/>
      <c r="I56" s="11"/>
      <c r="J56" s="61"/>
      <c r="K56" s="24"/>
      <c r="M56" s="10"/>
      <c r="N56" s="24"/>
    </row>
    <row r="57" spans="2:14" ht="15" customHeight="1" x14ac:dyDescent="0.2">
      <c r="B57" s="36"/>
      <c r="C57" s="36"/>
      <c r="D57" s="36"/>
      <c r="E57" s="36"/>
      <c r="F57" s="36"/>
      <c r="G57" s="36"/>
      <c r="I57" s="11"/>
      <c r="J57" s="61"/>
      <c r="K57" s="24"/>
      <c r="M57" s="10"/>
      <c r="N57" s="24"/>
    </row>
    <row r="58" spans="2:14" ht="15" customHeight="1" x14ac:dyDescent="0.2">
      <c r="B58" s="36"/>
      <c r="C58" s="36"/>
      <c r="D58" s="36"/>
      <c r="E58" s="36"/>
      <c r="F58" s="36"/>
      <c r="G58" s="36"/>
      <c r="I58" s="11"/>
      <c r="J58" s="61"/>
      <c r="K58" s="24"/>
      <c r="M58" s="10"/>
      <c r="N58" s="24"/>
    </row>
    <row r="59" spans="2:14" ht="15" customHeight="1" x14ac:dyDescent="0.2">
      <c r="I59" s="11"/>
      <c r="J59" s="61"/>
      <c r="K59" s="24"/>
      <c r="M59" s="10"/>
      <c r="N59" s="24"/>
    </row>
    <row r="60" spans="2:14" ht="15" customHeight="1" x14ac:dyDescent="0.2">
      <c r="I60" s="11"/>
      <c r="J60" s="61"/>
      <c r="K60" s="24"/>
      <c r="M60" s="10"/>
      <c r="N60" s="24"/>
    </row>
    <row r="61" spans="2:14" ht="15" customHeight="1" x14ac:dyDescent="0.2">
      <c r="I61" s="11"/>
      <c r="J61" s="61"/>
      <c r="K61" s="24"/>
      <c r="M61" s="10"/>
      <c r="N61" s="24"/>
    </row>
    <row r="62" spans="2:14" ht="15" customHeight="1" x14ac:dyDescent="0.2">
      <c r="I62" s="11"/>
      <c r="J62" s="61"/>
      <c r="K62" s="24"/>
      <c r="M62" s="10"/>
      <c r="N62" s="24"/>
    </row>
    <row r="63" spans="2:14" ht="15" customHeight="1" x14ac:dyDescent="0.2">
      <c r="I63" s="11"/>
      <c r="J63" s="61"/>
      <c r="K63" s="24"/>
      <c r="M63" s="10"/>
      <c r="N63" s="24"/>
    </row>
    <row r="64" spans="2:14" ht="15" customHeight="1" x14ac:dyDescent="0.2">
      <c r="I64" s="11"/>
      <c r="J64" s="61"/>
      <c r="K64" s="24"/>
      <c r="M64" s="10"/>
      <c r="N64" s="24"/>
    </row>
    <row r="65" spans="9:14" ht="15" customHeight="1" x14ac:dyDescent="0.2">
      <c r="I65" s="11"/>
      <c r="J65" s="61"/>
      <c r="K65" s="24"/>
      <c r="M65" s="10"/>
      <c r="N65" s="24"/>
    </row>
    <row r="66" spans="9:14" ht="15" customHeight="1" x14ac:dyDescent="0.2">
      <c r="I66" s="11"/>
      <c r="J66" s="61"/>
      <c r="K66" s="24"/>
      <c r="M66" s="10"/>
      <c r="N66" s="24"/>
    </row>
    <row r="67" spans="9:14" ht="15" customHeight="1" x14ac:dyDescent="0.2">
      <c r="I67" s="11"/>
      <c r="J67" s="61"/>
      <c r="K67" s="24"/>
      <c r="M67" s="10"/>
      <c r="N67" s="24"/>
    </row>
    <row r="68" spans="9:14" ht="15" customHeight="1" x14ac:dyDescent="0.2">
      <c r="I68" s="11"/>
      <c r="J68" s="61"/>
      <c r="K68" s="24"/>
      <c r="M68" s="10"/>
      <c r="N68" s="24"/>
    </row>
    <row r="69" spans="9:14" ht="15" customHeight="1" x14ac:dyDescent="0.2">
      <c r="I69" s="11"/>
      <c r="J69" s="61"/>
      <c r="K69" s="24"/>
      <c r="M69" s="10"/>
      <c r="N69" s="24"/>
    </row>
    <row r="70" spans="9:14" ht="15" customHeight="1" x14ac:dyDescent="0.2">
      <c r="I70" s="11"/>
      <c r="J70" s="61"/>
      <c r="K70" s="24"/>
      <c r="M70" s="10"/>
      <c r="N70" s="24"/>
    </row>
    <row r="71" spans="9:14" ht="15" customHeight="1" x14ac:dyDescent="0.2">
      <c r="I71" s="11"/>
      <c r="J71" s="61"/>
      <c r="K71" s="24"/>
      <c r="M71" s="10"/>
      <c r="N71" s="24"/>
    </row>
    <row r="72" spans="9:14" ht="15" customHeight="1" x14ac:dyDescent="0.2">
      <c r="I72" s="11"/>
      <c r="J72" s="61"/>
      <c r="K72" s="24"/>
      <c r="M72" s="10"/>
      <c r="N72" s="24"/>
    </row>
    <row r="73" spans="9:14" ht="15" customHeight="1" x14ac:dyDescent="0.2">
      <c r="I73" s="11"/>
      <c r="J73" s="61"/>
      <c r="K73" s="24"/>
      <c r="M73" s="10"/>
      <c r="N73" s="24"/>
    </row>
    <row r="74" spans="9:14" ht="15" customHeight="1" x14ac:dyDescent="0.2">
      <c r="I74" s="11"/>
      <c r="J74" s="61"/>
      <c r="K74" s="24"/>
      <c r="M74" s="10"/>
      <c r="N74" s="24"/>
    </row>
    <row r="75" spans="9:14" ht="15" customHeight="1" x14ac:dyDescent="0.2">
      <c r="I75" s="11"/>
      <c r="J75" s="61"/>
      <c r="K75" s="24"/>
      <c r="M75" s="10"/>
      <c r="N75" s="24"/>
    </row>
    <row r="76" spans="9:14" ht="15" customHeight="1" x14ac:dyDescent="0.2">
      <c r="I76" s="11"/>
      <c r="J76" s="61"/>
      <c r="K76" s="24"/>
      <c r="M76" s="10"/>
      <c r="N76" s="24"/>
    </row>
    <row r="77" spans="9:14" ht="15" customHeight="1" x14ac:dyDescent="0.2">
      <c r="I77" s="11"/>
      <c r="J77" s="61"/>
      <c r="K77" s="24"/>
      <c r="M77" s="10"/>
      <c r="N77" s="24"/>
    </row>
    <row r="78" spans="9:14" ht="15" customHeight="1" x14ac:dyDescent="0.2">
      <c r="I78" s="11"/>
      <c r="J78" s="61"/>
      <c r="K78" s="24"/>
      <c r="M78" s="10"/>
      <c r="N78" s="24"/>
    </row>
    <row r="79" spans="9:14" ht="15" customHeight="1" x14ac:dyDescent="0.2">
      <c r="I79" s="11"/>
      <c r="J79" s="61"/>
      <c r="K79" s="24"/>
      <c r="M79" s="10"/>
      <c r="N79" s="24"/>
    </row>
    <row r="80" spans="9:14" ht="15" customHeight="1" x14ac:dyDescent="0.2">
      <c r="I80" s="11"/>
      <c r="J80" s="61"/>
      <c r="K80" s="24"/>
      <c r="M80" s="10"/>
      <c r="N80" s="24"/>
    </row>
    <row r="81" spans="4:14" ht="15" customHeight="1" x14ac:dyDescent="0.2">
      <c r="I81" s="11"/>
      <c r="J81" s="61"/>
      <c r="K81" s="24"/>
      <c r="M81" s="10"/>
      <c r="N81" s="24"/>
    </row>
    <row r="82" spans="4:14" ht="15" customHeight="1" x14ac:dyDescent="0.2">
      <c r="I82" s="11"/>
      <c r="J82" s="61"/>
      <c r="K82" s="24"/>
      <c r="M82" s="10"/>
      <c r="N82" s="24"/>
    </row>
    <row r="83" spans="4:14" ht="15" customHeight="1" x14ac:dyDescent="0.2">
      <c r="I83" s="11"/>
      <c r="J83" s="61"/>
      <c r="K83" s="24"/>
      <c r="M83" s="10"/>
      <c r="N83" s="24"/>
    </row>
    <row r="84" spans="4:14" ht="15" customHeight="1" x14ac:dyDescent="0.2">
      <c r="I84" s="11"/>
      <c r="J84" s="61"/>
      <c r="K84" s="24"/>
      <c r="M84" s="10"/>
      <c r="N84" s="24"/>
    </row>
    <row r="85" spans="4:14" ht="15" customHeight="1" x14ac:dyDescent="0.2">
      <c r="I85" s="11"/>
      <c r="J85" s="61"/>
      <c r="K85" s="24"/>
      <c r="M85" s="10"/>
      <c r="N85" s="24"/>
    </row>
    <row r="86" spans="4:14" ht="15" customHeight="1" x14ac:dyDescent="0.2">
      <c r="I86" s="11"/>
      <c r="J86" s="61"/>
      <c r="K86" s="24"/>
      <c r="M86" s="10"/>
      <c r="N86" s="24"/>
    </row>
    <row r="87" spans="4:14" ht="15" customHeight="1" x14ac:dyDescent="0.2">
      <c r="I87" s="11"/>
      <c r="J87" s="61"/>
      <c r="K87" s="24"/>
      <c r="M87" s="10"/>
      <c r="N87" s="24"/>
    </row>
    <row r="88" spans="4:14" ht="15" customHeight="1" x14ac:dyDescent="0.2">
      <c r="I88" s="11"/>
      <c r="J88" s="61"/>
      <c r="K88" s="24"/>
      <c r="M88" s="10"/>
      <c r="N88" s="24"/>
    </row>
    <row r="89" spans="4:14" ht="15" customHeight="1" x14ac:dyDescent="0.2">
      <c r="I89" s="11"/>
      <c r="J89" s="61"/>
      <c r="K89" s="24"/>
      <c r="M89" s="10"/>
      <c r="N89" s="24"/>
    </row>
    <row r="90" spans="4:14" ht="15" customHeight="1" x14ac:dyDescent="0.2">
      <c r="I90" s="11"/>
      <c r="J90" s="61"/>
      <c r="K90" s="24"/>
      <c r="M90" s="10"/>
      <c r="N90" s="24"/>
    </row>
    <row r="91" spans="4:14" ht="15" customHeight="1" x14ac:dyDescent="0.2">
      <c r="I91" s="11"/>
      <c r="J91" s="61"/>
      <c r="K91" s="24"/>
      <c r="M91" s="10"/>
      <c r="N91" s="24"/>
    </row>
    <row r="92" spans="4:14" ht="15" customHeight="1" thickBot="1" x14ac:dyDescent="0.25">
      <c r="I92" s="27"/>
      <c r="J92" s="62"/>
      <c r="K92" s="28"/>
      <c r="M92" s="10"/>
      <c r="N92" s="24"/>
    </row>
    <row r="93" spans="4:14" ht="15" customHeight="1" thickBot="1" x14ac:dyDescent="0.25">
      <c r="M93" s="25"/>
      <c r="N93" s="28"/>
    </row>
    <row r="95" spans="4:14" hidden="1" x14ac:dyDescent="0.2">
      <c r="E95" s="1" t="s">
        <v>431</v>
      </c>
      <c r="F95" s="1" t="s">
        <v>432</v>
      </c>
      <c r="G95" s="1" t="s">
        <v>433</v>
      </c>
    </row>
    <row r="96" spans="4:14" hidden="1" x14ac:dyDescent="0.2">
      <c r="D96" s="1">
        <v>10</v>
      </c>
      <c r="E96" s="1">
        <f ca="1">IF(E17=E95,G26,0)</f>
        <v>0</v>
      </c>
      <c r="F96" s="1">
        <f>IF(F95=E17,G26,0)</f>
        <v>0</v>
      </c>
      <c r="G96" s="1">
        <f>IF(G95=E17,G26,0)</f>
        <v>0</v>
      </c>
    </row>
    <row r="97" spans="3:7" hidden="1" x14ac:dyDescent="0.2">
      <c r="D97" s="1">
        <v>5</v>
      </c>
      <c r="E97" s="1">
        <f ca="1">IF(E95=E17,G27,0)</f>
        <v>0</v>
      </c>
      <c r="F97" s="1">
        <f>IF(F95=E17,G27,0)</f>
        <v>0</v>
      </c>
      <c r="G97" s="1">
        <f>IF(G95=E17,G27,0)</f>
        <v>0</v>
      </c>
    </row>
    <row r="98" spans="3:7" hidden="1" x14ac:dyDescent="0.2">
      <c r="D98" s="1">
        <v>2.5</v>
      </c>
      <c r="E98" s="1">
        <f ca="1">IF(E95=E17,G28,0)</f>
        <v>1</v>
      </c>
      <c r="F98" s="1">
        <f>IF(F95=E17,G28,0)</f>
        <v>0</v>
      </c>
      <c r="G98" s="1">
        <f>IF(G95=E17,G28,0)</f>
        <v>0</v>
      </c>
    </row>
    <row r="99" spans="3:7" hidden="1" x14ac:dyDescent="0.2"/>
    <row r="100" spans="3:7" hidden="1" x14ac:dyDescent="0.2"/>
    <row r="101" spans="3:7" hidden="1" x14ac:dyDescent="0.2">
      <c r="C101" s="1" t="s">
        <v>465</v>
      </c>
    </row>
    <row r="102" spans="3:7" hidden="1" x14ac:dyDescent="0.2"/>
  </sheetData>
  <mergeCells count="18">
    <mergeCell ref="B1:G1"/>
    <mergeCell ref="Q3:Q4"/>
    <mergeCell ref="M3:N4"/>
    <mergeCell ref="B3:G4"/>
    <mergeCell ref="I3:K4"/>
    <mergeCell ref="I1:J1"/>
    <mergeCell ref="Q40:V40"/>
    <mergeCell ref="V38:AA38"/>
    <mergeCell ref="B6:G7"/>
    <mergeCell ref="B9:G10"/>
    <mergeCell ref="B12:G13"/>
    <mergeCell ref="B15:D16"/>
    <mergeCell ref="E15:F16"/>
    <mergeCell ref="G15:G16"/>
    <mergeCell ref="B33:B34"/>
    <mergeCell ref="C33:D34"/>
    <mergeCell ref="E33:E34"/>
    <mergeCell ref="F33:G34"/>
  </mergeCells>
  <phoneticPr fontId="72"/>
  <conditionalFormatting sqref="B33:C33 B17:D32">
    <cfRule type="expression" dxfId="141" priority="9" stopIfTrue="1">
      <formula>AND($G$15="Kg")</formula>
    </cfRule>
  </conditionalFormatting>
  <conditionalFormatting sqref="E33:F33 E17:G32">
    <cfRule type="expression" dxfId="140" priority="1" stopIfTrue="1">
      <formula>AND($G$15="Lb")</formula>
    </cfRule>
  </conditionalFormatting>
  <conditionalFormatting sqref="F26">
    <cfRule type="expression" dxfId="139" priority="10">
      <formula>OR($E$17=$E$95,$G$95=$E$17)</formula>
    </cfRule>
  </conditionalFormatting>
  <conditionalFormatting sqref="F27">
    <cfRule type="expression" dxfId="138" priority="3">
      <formula>AND($E$17=$G$95)</formula>
    </cfRule>
    <cfRule type="expression" dxfId="137" priority="4">
      <formula>OR($E$17=$E$95)</formula>
    </cfRule>
  </conditionalFormatting>
  <conditionalFormatting sqref="F28">
    <cfRule type="expression" dxfId="136" priority="2">
      <formula>AND($E$17=$G$95)</formula>
    </cfRule>
  </conditionalFormatting>
  <dataValidations xWindow="504" yWindow="598" count="13">
    <dataValidation type="list" allowBlank="1" showInputMessage="1" showErrorMessage="1" promptTitle="Type of meet" prompt="Select one from the dropdown menu" sqref="B9" xr:uid="{00000000-0002-0000-0000-000000000000}">
      <formula1>$T$2:$T$6</formula1>
    </dataValidation>
    <dataValidation type="list" allowBlank="1" showInputMessage="1" showErrorMessage="1" sqref="D32" xr:uid="{00000000-0002-0000-0000-000001000000}">
      <formula1>"25,30,35,40,45,50,55"</formula1>
    </dataValidation>
    <dataValidation type="list" allowBlank="1" showInputMessage="1" showErrorMessage="1" sqref="G32" xr:uid="{00000000-0002-0000-0000-000002000000}">
      <formula1>"10,12.5,15,17.5,20,22.5,25"</formula1>
    </dataValidation>
    <dataValidation type="list" allowBlank="1" showInputMessage="1" showErrorMessage="1" sqref="B21:B31 E21:E31" xr:uid="{00000000-0002-0000-0000-000003000000}">
      <formula1>"0,2,4,6,8,10,12,14,16,18,20"</formula1>
    </dataValidation>
    <dataValidation type="list" allowBlank="1" showInputMessage="1" showErrorMessage="1" sqref="E17" xr:uid="{00000000-0002-0000-0000-000004000000}">
      <formula1>"Eleiko,Ivanko,Titex"</formula1>
    </dataValidation>
    <dataValidation type="list" allowBlank="1" showInputMessage="1" showErrorMessage="1" promptTitle="Firewall Settings" prompt="You must be sure that your firewall settings allow access to the internet for automatic upload to the internet." sqref="L43" xr:uid="{00000000-0002-0000-0000-000005000000}">
      <formula1>"Enable,Disable"</formula1>
    </dataValidation>
    <dataValidation type="list" allowBlank="1" showInputMessage="1" showErrorMessage="1" sqref="L30" xr:uid="{00000000-0002-0000-0000-000006000000}">
      <formula1>"Color, Black &amp; White"</formula1>
    </dataValidation>
    <dataValidation allowBlank="1" showInputMessage="1" showErrorMessage="1" promptTitle="Flights/Groups" prompt="Enter the flights or groups in the order that they will compete.  You may use Letters number or a combination." sqref="Q5:Q20" xr:uid="{00000000-0002-0000-0000-000007000000}"/>
    <dataValidation type="list" allowBlank="1" showInputMessage="1" showErrorMessage="1" sqref="I3:K4" xr:uid="{00000000-0002-0000-0000-000008000000}">
      <formula1>"IPF Divisions, Custom Divisions"</formula1>
    </dataValidation>
    <dataValidation type="list" allowBlank="1" showInputMessage="1" showErrorMessage="1" sqref="Q3:Q4" xr:uid="{00000000-0002-0000-0000-000009000000}">
      <formula1>"Flt,Grp"</formula1>
    </dataValidation>
    <dataValidation type="list" allowBlank="1" showInputMessage="1" showErrorMessage="1" sqref="G15:G16" xr:uid="{00000000-0002-0000-0000-00000A000000}">
      <formula1>"Kg"</formula1>
    </dataValidation>
    <dataValidation type="list" allowBlank="1" showInputMessage="1" showErrorMessage="1" promptTitle="Placing Code" prompt="1 = Lifter placiing detemined by Division, Weight Class &amp; Total_x000a_2 = Lifter placing determined by Division and IPF Points_x000a_3 = Lifter placing determined by Division, IPF Points x Age Coef" sqref="K6:K92" xr:uid="{00000000-0002-0000-0000-00000B000000}">
      <formula1>"1,2,3"</formula1>
    </dataValidation>
    <dataValidation type="custom" allowBlank="1" showInputMessage="1" showErrorMessage="1" prompt="Enter divisions in the order you want them to appear in the Results._x000a_1st Character must be M or F to designate male/female to compute IPF Points _x000a_For Unequipped lifters,the last character must be U_x000a_ _x000a_" sqref="I6:I92" xr:uid="{00000000-0002-0000-0000-00000C000000}">
      <formula1>OR(LEFT(I6,FIND("-",I6)-1)="MR",LEFT(I6,FIND("-",I6)-1)="M",LEFT(I6,FIND("-",I6)-1)="FR",LEFT(I6,FIND("-",I6)-1)="F")</formula1>
    </dataValidation>
  </dataValidations>
  <pageMargins left="0.5" right="0.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J2177"/>
  <sheetViews>
    <sheetView workbookViewId="0">
      <pane ySplit="1" topLeftCell="A236" activePane="bottomLeft" state="frozen"/>
      <selection pane="bottomLeft" activeCell="A2" sqref="A2:H278"/>
    </sheetView>
  </sheetViews>
  <sheetFormatPr defaultRowHeight="12.75" x14ac:dyDescent="0.2"/>
  <cols>
    <col min="1" max="1" width="11.28515625" style="1" customWidth="1"/>
    <col min="2" max="2" width="28.28515625" style="1" customWidth="1"/>
    <col min="3" max="3" width="17.5703125" style="1" customWidth="1"/>
    <col min="4" max="4" width="12.7109375" style="1" customWidth="1"/>
    <col min="5" max="5" width="13.28515625" style="1" customWidth="1"/>
    <col min="6" max="6" width="12.7109375" style="1" customWidth="1"/>
    <col min="7" max="7" width="19.7109375" style="1" customWidth="1"/>
    <col min="8" max="9" width="9.28515625" customWidth="1"/>
    <col min="10" max="10" width="0" hidden="1" customWidth="1"/>
  </cols>
  <sheetData>
    <row r="1" spans="1:10" s="117" customFormat="1" x14ac:dyDescent="0.2">
      <c r="A1" s="117" t="s">
        <v>820</v>
      </c>
      <c r="B1" s="78" t="s">
        <v>54</v>
      </c>
      <c r="C1" s="78" t="str">
        <f>"Weight Cls "&amp;IF(Setup!B39="Kilograms","(Kg)","(Lb)")</f>
        <v>Weight Cls (Lb)</v>
      </c>
      <c r="D1" s="78" t="s">
        <v>467</v>
      </c>
      <c r="E1" s="78" t="str">
        <f>"Weight ("&amp;Setup!G15&amp;")"</f>
        <v>Weight (Kg)</v>
      </c>
      <c r="F1" s="78" t="str">
        <f>"Total ("&amp;Setup!G15&amp;")"</f>
        <v>Total (Kg)</v>
      </c>
      <c r="G1" s="78" t="s">
        <v>821</v>
      </c>
      <c r="I1" s="78"/>
      <c r="J1" s="78">
        <f>COUNTA(B:B)+1</f>
        <v>2178</v>
      </c>
    </row>
    <row r="2" spans="1:10" x14ac:dyDescent="0.2">
      <c r="A2" s="205">
        <v>0.67811342592592594</v>
      </c>
      <c r="B2" s="1" t="s">
        <v>974</v>
      </c>
      <c r="C2" s="1">
        <v>43</v>
      </c>
      <c r="D2" s="1" t="s">
        <v>27</v>
      </c>
      <c r="E2" s="1">
        <v>100</v>
      </c>
    </row>
    <row r="3" spans="1:10" x14ac:dyDescent="0.2">
      <c r="A3" s="205">
        <v>0.67813657407407402</v>
      </c>
      <c r="B3" s="1" t="s">
        <v>978</v>
      </c>
      <c r="C3" s="1">
        <v>47</v>
      </c>
      <c r="D3" s="1" t="s">
        <v>27</v>
      </c>
      <c r="E3" s="1">
        <v>110</v>
      </c>
    </row>
    <row r="4" spans="1:10" x14ac:dyDescent="0.2">
      <c r="A4" s="205">
        <v>0.67814814814814817</v>
      </c>
      <c r="B4" s="1" t="s">
        <v>980</v>
      </c>
      <c r="C4" s="1">
        <v>53</v>
      </c>
      <c r="D4" s="1" t="s">
        <v>27</v>
      </c>
      <c r="E4" s="1">
        <v>120</v>
      </c>
    </row>
    <row r="5" spans="1:10" x14ac:dyDescent="0.2">
      <c r="A5" s="205">
        <v>0.67815972222222232</v>
      </c>
      <c r="B5" s="1" t="s">
        <v>982</v>
      </c>
      <c r="C5" s="1">
        <v>59</v>
      </c>
      <c r="D5" s="1" t="s">
        <v>27</v>
      </c>
      <c r="E5" s="1">
        <v>130</v>
      </c>
    </row>
    <row r="6" spans="1:10" x14ac:dyDescent="0.2">
      <c r="A6" s="205">
        <v>0.67818287037037039</v>
      </c>
      <c r="B6" s="1" t="s">
        <v>987</v>
      </c>
      <c r="C6" s="1">
        <v>66</v>
      </c>
      <c r="D6" s="1" t="s">
        <v>27</v>
      </c>
      <c r="E6" s="1">
        <v>140</v>
      </c>
    </row>
    <row r="7" spans="1:10" x14ac:dyDescent="0.2">
      <c r="A7" s="205">
        <v>0.67819444444444443</v>
      </c>
      <c r="B7" s="1" t="s">
        <v>984</v>
      </c>
      <c r="C7" s="1">
        <v>66</v>
      </c>
      <c r="D7" s="1" t="s">
        <v>27</v>
      </c>
      <c r="E7" s="1">
        <v>150</v>
      </c>
    </row>
    <row r="8" spans="1:10" x14ac:dyDescent="0.2">
      <c r="A8" s="205">
        <v>0.67820601851851858</v>
      </c>
      <c r="B8" s="1" t="s">
        <v>994</v>
      </c>
      <c r="C8" s="1">
        <v>59</v>
      </c>
      <c r="D8" s="1" t="s">
        <v>27</v>
      </c>
      <c r="E8" s="1">
        <v>150</v>
      </c>
    </row>
    <row r="9" spans="1:10" x14ac:dyDescent="0.2">
      <c r="A9" s="205">
        <v>0.67822916666666666</v>
      </c>
      <c r="B9" s="1" t="s">
        <v>989</v>
      </c>
      <c r="C9" s="1">
        <v>74</v>
      </c>
      <c r="D9" s="1" t="s">
        <v>27</v>
      </c>
      <c r="E9" s="1">
        <v>160</v>
      </c>
    </row>
    <row r="10" spans="1:10" x14ac:dyDescent="0.2">
      <c r="A10" s="205">
        <v>0.67824074074074081</v>
      </c>
      <c r="B10" s="1" t="s">
        <v>993</v>
      </c>
      <c r="C10" s="1">
        <v>83</v>
      </c>
      <c r="D10" s="1" t="s">
        <v>27</v>
      </c>
      <c r="E10" s="1">
        <v>160</v>
      </c>
    </row>
    <row r="11" spans="1:10" x14ac:dyDescent="0.2">
      <c r="A11" s="205">
        <v>0.67825231481481485</v>
      </c>
      <c r="B11" s="1" t="s">
        <v>990</v>
      </c>
      <c r="C11" s="1">
        <v>83</v>
      </c>
      <c r="D11" s="1" t="s">
        <v>27</v>
      </c>
      <c r="E11" s="1">
        <v>180</v>
      </c>
    </row>
    <row r="12" spans="1:10" x14ac:dyDescent="0.2">
      <c r="A12" s="205">
        <v>0.67828703703703708</v>
      </c>
      <c r="B12" s="1" t="s">
        <v>991</v>
      </c>
      <c r="C12" s="1">
        <v>83</v>
      </c>
      <c r="D12" s="1" t="s">
        <v>27</v>
      </c>
      <c r="E12" s="1">
        <v>200</v>
      </c>
    </row>
    <row r="13" spans="1:10" x14ac:dyDescent="0.2">
      <c r="A13" s="205">
        <v>0.6784027777777778</v>
      </c>
      <c r="B13" s="1" t="s">
        <v>974</v>
      </c>
      <c r="C13" s="1">
        <v>43</v>
      </c>
      <c r="D13" s="1" t="s">
        <v>29</v>
      </c>
      <c r="E13" s="1">
        <v>100</v>
      </c>
    </row>
    <row r="14" spans="1:10" x14ac:dyDescent="0.2">
      <c r="A14" s="205">
        <v>0.67841435185185184</v>
      </c>
      <c r="B14" s="1" t="s">
        <v>978</v>
      </c>
      <c r="C14" s="1">
        <v>47</v>
      </c>
      <c r="D14" s="1" t="s">
        <v>29</v>
      </c>
      <c r="E14" s="1">
        <v>110</v>
      </c>
    </row>
    <row r="15" spans="1:10" x14ac:dyDescent="0.2">
      <c r="A15" s="205">
        <v>0.67843749999999992</v>
      </c>
      <c r="B15" s="1" t="s">
        <v>980</v>
      </c>
      <c r="C15" s="1">
        <v>53</v>
      </c>
      <c r="D15" s="1" t="s">
        <v>29</v>
      </c>
      <c r="E15" s="1">
        <v>120</v>
      </c>
    </row>
    <row r="16" spans="1:10" x14ac:dyDescent="0.2">
      <c r="A16" s="205">
        <v>0.67846064814814822</v>
      </c>
      <c r="B16" s="1" t="s">
        <v>982</v>
      </c>
      <c r="C16" s="1">
        <v>59</v>
      </c>
      <c r="D16" s="1" t="s">
        <v>29</v>
      </c>
      <c r="E16" s="1">
        <v>130</v>
      </c>
    </row>
    <row r="17" spans="1:6" x14ac:dyDescent="0.2">
      <c r="A17" s="205">
        <v>0.67847222222222225</v>
      </c>
      <c r="B17" s="1" t="s">
        <v>987</v>
      </c>
      <c r="C17" s="1">
        <v>66</v>
      </c>
      <c r="D17" s="1" t="s">
        <v>29</v>
      </c>
      <c r="E17" s="1">
        <v>140</v>
      </c>
    </row>
    <row r="18" spans="1:6" x14ac:dyDescent="0.2">
      <c r="A18" s="205">
        <v>0.67848379629629629</v>
      </c>
      <c r="B18" s="1" t="s">
        <v>984</v>
      </c>
      <c r="C18" s="1">
        <v>66</v>
      </c>
      <c r="D18" s="1" t="s">
        <v>29</v>
      </c>
      <c r="E18" s="1">
        <v>150</v>
      </c>
    </row>
    <row r="19" spans="1:6" x14ac:dyDescent="0.2">
      <c r="A19" s="205">
        <v>0.67849537037037033</v>
      </c>
      <c r="B19" s="1" t="s">
        <v>994</v>
      </c>
      <c r="C19" s="1">
        <v>59</v>
      </c>
      <c r="D19" s="1" t="s">
        <v>29</v>
      </c>
      <c r="E19" s="1">
        <v>150</v>
      </c>
    </row>
    <row r="20" spans="1:6" x14ac:dyDescent="0.2">
      <c r="A20" s="205">
        <v>0.67850694444444448</v>
      </c>
      <c r="B20" s="1" t="s">
        <v>989</v>
      </c>
      <c r="C20" s="1">
        <v>74</v>
      </c>
      <c r="D20" s="1" t="s">
        <v>29</v>
      </c>
      <c r="E20" s="1">
        <v>160</v>
      </c>
    </row>
    <row r="21" spans="1:6" x14ac:dyDescent="0.2">
      <c r="A21" s="205">
        <v>0.67853009259259256</v>
      </c>
      <c r="B21" s="1" t="s">
        <v>993</v>
      </c>
      <c r="C21" s="1">
        <v>83</v>
      </c>
      <c r="D21" s="1" t="s">
        <v>29</v>
      </c>
      <c r="E21" s="1">
        <v>160</v>
      </c>
    </row>
    <row r="22" spans="1:6" x14ac:dyDescent="0.2">
      <c r="A22" s="205">
        <v>0.67854166666666671</v>
      </c>
      <c r="B22" s="1" t="s">
        <v>990</v>
      </c>
      <c r="C22" s="1">
        <v>83</v>
      </c>
      <c r="D22" s="1" t="s">
        <v>29</v>
      </c>
      <c r="E22" s="1">
        <v>180</v>
      </c>
    </row>
    <row r="23" spans="1:6" x14ac:dyDescent="0.2">
      <c r="A23" s="205">
        <v>0.67855324074074075</v>
      </c>
      <c r="B23" s="1" t="s">
        <v>991</v>
      </c>
      <c r="C23" s="1">
        <v>83</v>
      </c>
      <c r="D23" s="1" t="s">
        <v>29</v>
      </c>
      <c r="E23" s="1">
        <v>200</v>
      </c>
    </row>
    <row r="24" spans="1:6" x14ac:dyDescent="0.2">
      <c r="A24" s="205">
        <v>0.6786226851851852</v>
      </c>
      <c r="B24" s="1" t="s">
        <v>974</v>
      </c>
      <c r="C24" s="1">
        <v>43</v>
      </c>
      <c r="D24" s="1" t="s">
        <v>30</v>
      </c>
      <c r="E24" s="1">
        <v>-100</v>
      </c>
    </row>
    <row r="25" spans="1:6" x14ac:dyDescent="0.2">
      <c r="A25" s="205">
        <v>0.67863425925925924</v>
      </c>
      <c r="B25" s="1" t="s">
        <v>978</v>
      </c>
      <c r="C25" s="1">
        <v>47</v>
      </c>
      <c r="D25" s="1" t="s">
        <v>30</v>
      </c>
      <c r="E25" s="1">
        <v>-110</v>
      </c>
    </row>
    <row r="26" spans="1:6" x14ac:dyDescent="0.2">
      <c r="A26" s="205">
        <v>0.67864583333333339</v>
      </c>
      <c r="B26" s="1" t="s">
        <v>980</v>
      </c>
      <c r="C26" s="1">
        <v>53</v>
      </c>
      <c r="D26" s="1" t="s">
        <v>30</v>
      </c>
      <c r="E26" s="1">
        <v>-120</v>
      </c>
    </row>
    <row r="27" spans="1:6" x14ac:dyDescent="0.2">
      <c r="A27" s="205">
        <v>0.67866898148148147</v>
      </c>
      <c r="B27" s="1" t="s">
        <v>982</v>
      </c>
      <c r="C27" s="1">
        <v>59</v>
      </c>
      <c r="D27" s="1" t="s">
        <v>30</v>
      </c>
      <c r="E27" s="1">
        <v>-130</v>
      </c>
    </row>
    <row r="28" spans="1:6" x14ac:dyDescent="0.2">
      <c r="A28" s="205">
        <v>0.67868055555555562</v>
      </c>
      <c r="B28" s="1" t="s">
        <v>987</v>
      </c>
      <c r="C28" s="1">
        <v>66</v>
      </c>
      <c r="D28" s="1" t="s">
        <v>30</v>
      </c>
      <c r="E28" s="1">
        <v>140</v>
      </c>
      <c r="F28" s="1">
        <v>420</v>
      </c>
    </row>
    <row r="29" spans="1:6" x14ac:dyDescent="0.2">
      <c r="A29" s="205">
        <v>0.67869212962962966</v>
      </c>
      <c r="B29" s="1" t="s">
        <v>984</v>
      </c>
      <c r="C29" s="1">
        <v>66</v>
      </c>
      <c r="D29" s="1" t="s">
        <v>30</v>
      </c>
      <c r="E29" s="1">
        <v>-150</v>
      </c>
    </row>
    <row r="30" spans="1:6" x14ac:dyDescent="0.2">
      <c r="A30" s="205">
        <v>0.6787037037037037</v>
      </c>
      <c r="B30" s="1" t="s">
        <v>994</v>
      </c>
      <c r="C30" s="1">
        <v>59</v>
      </c>
      <c r="D30" s="1" t="s">
        <v>30</v>
      </c>
      <c r="E30" s="1">
        <v>-150</v>
      </c>
    </row>
    <row r="31" spans="1:6" x14ac:dyDescent="0.2">
      <c r="A31" s="205">
        <v>0.67871527777777774</v>
      </c>
      <c r="B31" s="1" t="s">
        <v>989</v>
      </c>
      <c r="C31" s="1">
        <v>74</v>
      </c>
      <c r="D31" s="1" t="s">
        <v>30</v>
      </c>
      <c r="E31" s="1">
        <v>160</v>
      </c>
      <c r="F31" s="1">
        <v>480</v>
      </c>
    </row>
    <row r="32" spans="1:6" x14ac:dyDescent="0.2">
      <c r="A32" s="205">
        <v>0.56569444444444439</v>
      </c>
      <c r="B32" s="1" t="s">
        <v>1283</v>
      </c>
      <c r="C32" s="1">
        <v>74</v>
      </c>
      <c r="D32" s="1" t="s">
        <v>1284</v>
      </c>
      <c r="E32" s="1">
        <v>-270</v>
      </c>
      <c r="F32" s="1">
        <v>607.5</v>
      </c>
    </row>
    <row r="33" spans="1:6" x14ac:dyDescent="0.2">
      <c r="A33" s="205">
        <v>0.56341435185185185</v>
      </c>
      <c r="B33" s="1" t="s">
        <v>1282</v>
      </c>
      <c r="C33" s="1">
        <v>74</v>
      </c>
      <c r="D33" s="1" t="s">
        <v>1284</v>
      </c>
      <c r="E33" s="1">
        <v>-212.5</v>
      </c>
      <c r="F33" s="1">
        <v>502.5</v>
      </c>
    </row>
    <row r="34" spans="1:6" x14ac:dyDescent="0.2">
      <c r="A34" s="205">
        <v>0.67876157407407411</v>
      </c>
      <c r="B34" s="1" t="s">
        <v>991</v>
      </c>
      <c r="C34" s="1">
        <v>83</v>
      </c>
      <c r="D34" s="1" t="s">
        <v>30</v>
      </c>
      <c r="E34" s="1">
        <v>-200</v>
      </c>
    </row>
    <row r="35" spans="1:6" x14ac:dyDescent="0.2">
      <c r="A35" s="205">
        <v>0.67877314814814815</v>
      </c>
      <c r="B35" s="1" t="s">
        <v>991</v>
      </c>
      <c r="C35" s="1">
        <v>83</v>
      </c>
      <c r="D35" s="1" t="s">
        <v>30</v>
      </c>
      <c r="E35" s="1">
        <v>200</v>
      </c>
      <c r="F35" s="1">
        <v>600</v>
      </c>
    </row>
    <row r="36" spans="1:6" x14ac:dyDescent="0.2">
      <c r="A36" s="205">
        <v>0.67928240740740742</v>
      </c>
      <c r="B36" s="1" t="s">
        <v>974</v>
      </c>
      <c r="C36" s="1">
        <v>43</v>
      </c>
      <c r="D36" s="1" t="s">
        <v>34</v>
      </c>
      <c r="E36" s="1">
        <v>100</v>
      </c>
      <c r="F36" s="1">
        <v>300</v>
      </c>
    </row>
    <row r="37" spans="1:6" x14ac:dyDescent="0.2">
      <c r="A37" s="205">
        <v>0.90256944444444442</v>
      </c>
      <c r="B37" s="1" t="s">
        <v>1235</v>
      </c>
      <c r="C37" s="1">
        <v>74</v>
      </c>
      <c r="D37" s="1" t="s">
        <v>1232</v>
      </c>
      <c r="E37" s="1">
        <v>-155</v>
      </c>
      <c r="F37" s="1">
        <v>330</v>
      </c>
    </row>
    <row r="38" spans="1:6" x14ac:dyDescent="0.2">
      <c r="A38" s="205">
        <v>0.67930555555555561</v>
      </c>
      <c r="B38" s="1" t="s">
        <v>980</v>
      </c>
      <c r="C38" s="1">
        <v>53</v>
      </c>
      <c r="D38" s="1" t="s">
        <v>34</v>
      </c>
      <c r="E38" s="1">
        <v>120</v>
      </c>
      <c r="F38" s="1">
        <v>360</v>
      </c>
    </row>
    <row r="39" spans="1:6" x14ac:dyDescent="0.2">
      <c r="A39" s="205">
        <v>0.67932870370370368</v>
      </c>
      <c r="B39" s="1" t="s">
        <v>982</v>
      </c>
      <c r="C39" s="1">
        <v>59</v>
      </c>
      <c r="D39" s="1" t="s">
        <v>34</v>
      </c>
      <c r="E39" s="1">
        <v>130</v>
      </c>
      <c r="F39" s="1">
        <v>390</v>
      </c>
    </row>
    <row r="40" spans="1:6" x14ac:dyDescent="0.2">
      <c r="A40" s="205">
        <v>0.67934027777777783</v>
      </c>
      <c r="B40" s="1" t="s">
        <v>987</v>
      </c>
      <c r="C40" s="1">
        <v>66</v>
      </c>
      <c r="D40" s="1" t="s">
        <v>34</v>
      </c>
      <c r="E40" s="1">
        <v>142.5</v>
      </c>
      <c r="F40" s="1">
        <v>422.5</v>
      </c>
    </row>
    <row r="41" spans="1:6" x14ac:dyDescent="0.2">
      <c r="A41" s="205">
        <v>0.67935185185185187</v>
      </c>
      <c r="B41" s="1" t="s">
        <v>984</v>
      </c>
      <c r="C41" s="1">
        <v>66</v>
      </c>
      <c r="D41" s="1" t="s">
        <v>34</v>
      </c>
      <c r="E41" s="1">
        <v>150</v>
      </c>
      <c r="F41" s="1">
        <v>450</v>
      </c>
    </row>
    <row r="42" spans="1:6" x14ac:dyDescent="0.2">
      <c r="A42" s="205">
        <v>0.67937499999999995</v>
      </c>
      <c r="B42" s="1" t="s">
        <v>994</v>
      </c>
      <c r="C42" s="1">
        <v>59</v>
      </c>
      <c r="D42" s="1" t="s">
        <v>34</v>
      </c>
      <c r="E42" s="1">
        <v>150</v>
      </c>
      <c r="F42" s="1">
        <v>450</v>
      </c>
    </row>
    <row r="43" spans="1:6" x14ac:dyDescent="0.2">
      <c r="A43" s="205">
        <v>0.6793865740740741</v>
      </c>
      <c r="B43" s="1" t="s">
        <v>993</v>
      </c>
      <c r="C43" s="1">
        <v>83</v>
      </c>
      <c r="D43" s="1" t="s">
        <v>34</v>
      </c>
      <c r="E43" s="1">
        <v>160</v>
      </c>
      <c r="F43" s="1">
        <v>480</v>
      </c>
    </row>
    <row r="44" spans="1:6" x14ac:dyDescent="0.2">
      <c r="A44" s="205">
        <v>0.67939814814814825</v>
      </c>
      <c r="B44" s="1" t="s">
        <v>989</v>
      </c>
      <c r="C44" s="1">
        <v>74</v>
      </c>
      <c r="D44" s="1" t="s">
        <v>34</v>
      </c>
      <c r="E44" s="1">
        <v>170</v>
      </c>
      <c r="F44" s="1">
        <v>490</v>
      </c>
    </row>
    <row r="45" spans="1:6" x14ac:dyDescent="0.2">
      <c r="A45" s="205">
        <v>0.67942129629629633</v>
      </c>
      <c r="B45" s="1" t="s">
        <v>990</v>
      </c>
      <c r="C45" s="1">
        <v>83</v>
      </c>
      <c r="D45" s="1" t="s">
        <v>34</v>
      </c>
      <c r="E45" s="1">
        <v>185</v>
      </c>
      <c r="F45" s="1">
        <v>545</v>
      </c>
    </row>
    <row r="46" spans="1:6" x14ac:dyDescent="0.2">
      <c r="A46" s="205">
        <v>0.67943287037037037</v>
      </c>
      <c r="B46" s="1" t="s">
        <v>991</v>
      </c>
      <c r="C46" s="1">
        <v>83</v>
      </c>
      <c r="D46" s="1" t="s">
        <v>34</v>
      </c>
      <c r="E46" s="1">
        <v>205</v>
      </c>
      <c r="F46" s="1">
        <v>605</v>
      </c>
    </row>
    <row r="47" spans="1:6" x14ac:dyDescent="0.2">
      <c r="A47" s="205">
        <v>0.68120370370370376</v>
      </c>
      <c r="B47" s="1" t="s">
        <v>999</v>
      </c>
      <c r="C47" s="1">
        <v>120</v>
      </c>
      <c r="D47" s="1" t="s">
        <v>30</v>
      </c>
      <c r="E47" s="1">
        <v>120</v>
      </c>
    </row>
    <row r="48" spans="1:6" x14ac:dyDescent="0.2">
      <c r="A48" s="205">
        <v>0.68121527777777768</v>
      </c>
      <c r="B48" s="1" t="s">
        <v>1000</v>
      </c>
      <c r="C48" s="1" t="s">
        <v>52</v>
      </c>
      <c r="D48" s="1" t="s">
        <v>30</v>
      </c>
      <c r="E48" s="1">
        <v>120</v>
      </c>
    </row>
    <row r="49" spans="1:5" x14ac:dyDescent="0.2">
      <c r="A49" s="205">
        <v>0.68123842592592598</v>
      </c>
      <c r="B49" s="1" t="s">
        <v>998</v>
      </c>
      <c r="C49" s="1">
        <v>53</v>
      </c>
      <c r="D49" s="1" t="s">
        <v>30</v>
      </c>
      <c r="E49" s="1">
        <v>130</v>
      </c>
    </row>
    <row r="50" spans="1:5" x14ac:dyDescent="0.2">
      <c r="A50" s="205">
        <v>0.68125000000000002</v>
      </c>
      <c r="B50" s="1" t="s">
        <v>1002</v>
      </c>
      <c r="C50" s="1">
        <v>120</v>
      </c>
      <c r="D50" s="1" t="s">
        <v>30</v>
      </c>
      <c r="E50" s="1">
        <v>130</v>
      </c>
    </row>
    <row r="51" spans="1:5" x14ac:dyDescent="0.2">
      <c r="A51" s="205">
        <v>0.6812731481481481</v>
      </c>
      <c r="B51" s="1" t="s">
        <v>997</v>
      </c>
      <c r="C51" s="1">
        <v>93</v>
      </c>
      <c r="D51" s="1" t="s">
        <v>30</v>
      </c>
      <c r="E51" s="1">
        <v>-140</v>
      </c>
    </row>
    <row r="52" spans="1:5" x14ac:dyDescent="0.2">
      <c r="A52" s="205">
        <v>0.68128472222222225</v>
      </c>
      <c r="B52" s="1" t="s">
        <v>1003</v>
      </c>
      <c r="C52" s="1" t="s">
        <v>52</v>
      </c>
      <c r="D52" s="1" t="s">
        <v>30</v>
      </c>
      <c r="E52" s="1">
        <v>140</v>
      </c>
    </row>
    <row r="53" spans="1:5" x14ac:dyDescent="0.2">
      <c r="A53" s="205">
        <v>0.68130787037037033</v>
      </c>
      <c r="B53" s="1" t="s">
        <v>1005</v>
      </c>
      <c r="C53" s="1" t="s">
        <v>52</v>
      </c>
      <c r="D53" s="1" t="s">
        <v>30</v>
      </c>
      <c r="E53" s="1">
        <v>150</v>
      </c>
    </row>
    <row r="54" spans="1:5" x14ac:dyDescent="0.2">
      <c r="A54" s="205">
        <v>0.681574074074074</v>
      </c>
      <c r="B54" s="1" t="s">
        <v>999</v>
      </c>
      <c r="C54" s="1">
        <v>120</v>
      </c>
      <c r="D54" s="1" t="s">
        <v>34</v>
      </c>
      <c r="E54" s="1">
        <v>130</v>
      </c>
    </row>
    <row r="55" spans="1:5" x14ac:dyDescent="0.2">
      <c r="A55" s="205">
        <v>0.6815972222222223</v>
      </c>
      <c r="B55" s="1" t="s">
        <v>1000</v>
      </c>
      <c r="C55" s="1" t="s">
        <v>52</v>
      </c>
      <c r="D55" s="1" t="s">
        <v>34</v>
      </c>
      <c r="E55" s="1">
        <v>130</v>
      </c>
    </row>
    <row r="56" spans="1:5" x14ac:dyDescent="0.2">
      <c r="A56" s="205">
        <v>0.68162037037037038</v>
      </c>
      <c r="B56" s="1" t="s">
        <v>997</v>
      </c>
      <c r="C56" s="1">
        <v>93</v>
      </c>
      <c r="D56" s="1" t="s">
        <v>34</v>
      </c>
      <c r="E56" s="1">
        <v>140</v>
      </c>
    </row>
    <row r="57" spans="1:5" x14ac:dyDescent="0.2">
      <c r="A57" s="205">
        <v>0.68163194444444442</v>
      </c>
      <c r="B57" s="1" t="s">
        <v>998</v>
      </c>
      <c r="C57" s="1">
        <v>53</v>
      </c>
      <c r="D57" s="1" t="s">
        <v>34</v>
      </c>
      <c r="E57" s="1">
        <v>140</v>
      </c>
    </row>
    <row r="58" spans="1:5" x14ac:dyDescent="0.2">
      <c r="A58" s="205">
        <v>0.68166666666666664</v>
      </c>
      <c r="B58" s="1" t="s">
        <v>1002</v>
      </c>
      <c r="C58" s="1">
        <v>120</v>
      </c>
      <c r="D58" s="1" t="s">
        <v>34</v>
      </c>
      <c r="E58" s="1">
        <v>140</v>
      </c>
    </row>
    <row r="59" spans="1:5" x14ac:dyDescent="0.2">
      <c r="A59" s="205">
        <v>0.68168981481481483</v>
      </c>
      <c r="B59" s="1" t="s">
        <v>1003</v>
      </c>
      <c r="C59" s="1" t="s">
        <v>52</v>
      </c>
      <c r="D59" s="1" t="s">
        <v>34</v>
      </c>
      <c r="E59" s="1">
        <v>145</v>
      </c>
    </row>
    <row r="60" spans="1:5" x14ac:dyDescent="0.2">
      <c r="A60" s="205">
        <v>0.68190972222222224</v>
      </c>
      <c r="B60" s="1" t="s">
        <v>999</v>
      </c>
      <c r="C60" s="1">
        <v>120</v>
      </c>
      <c r="D60" s="1" t="s">
        <v>27</v>
      </c>
      <c r="E60" s="1">
        <v>120</v>
      </c>
    </row>
    <row r="61" spans="1:5" x14ac:dyDescent="0.2">
      <c r="A61" s="205">
        <v>0.68193287037037031</v>
      </c>
      <c r="B61" s="1" t="s">
        <v>1000</v>
      </c>
      <c r="C61" s="1" t="s">
        <v>52</v>
      </c>
      <c r="D61" s="1" t="s">
        <v>27</v>
      </c>
      <c r="E61" s="1">
        <v>120</v>
      </c>
    </row>
    <row r="62" spans="1:5" x14ac:dyDescent="0.2">
      <c r="A62" s="205">
        <v>0.68197916666666669</v>
      </c>
      <c r="B62" s="1" t="s">
        <v>998</v>
      </c>
      <c r="C62" s="1">
        <v>53</v>
      </c>
      <c r="D62" s="1" t="s">
        <v>27</v>
      </c>
      <c r="E62" s="1">
        <v>130</v>
      </c>
    </row>
    <row r="63" spans="1:5" x14ac:dyDescent="0.2">
      <c r="A63" s="205">
        <v>0.68202546296296296</v>
      </c>
      <c r="B63" s="1" t="s">
        <v>1002</v>
      </c>
      <c r="C63" s="1">
        <v>120</v>
      </c>
      <c r="D63" s="1" t="s">
        <v>27</v>
      </c>
      <c r="E63" s="1">
        <v>130</v>
      </c>
    </row>
    <row r="64" spans="1:5" x14ac:dyDescent="0.2">
      <c r="A64" s="205">
        <v>0.68204861111111104</v>
      </c>
      <c r="B64" s="1" t="s">
        <v>997</v>
      </c>
      <c r="C64" s="1">
        <v>93</v>
      </c>
      <c r="D64" s="1" t="s">
        <v>27</v>
      </c>
      <c r="E64" s="1">
        <v>140</v>
      </c>
    </row>
    <row r="65" spans="1:6" x14ac:dyDescent="0.2">
      <c r="A65" s="205">
        <v>0.68207175925925922</v>
      </c>
      <c r="B65" s="1" t="s">
        <v>1003</v>
      </c>
      <c r="C65" s="1" t="s">
        <v>52</v>
      </c>
      <c r="D65" s="1" t="s">
        <v>27</v>
      </c>
      <c r="E65" s="1">
        <v>140</v>
      </c>
    </row>
    <row r="66" spans="1:6" x14ac:dyDescent="0.2">
      <c r="A66" s="205">
        <v>0.68208333333333337</v>
      </c>
      <c r="B66" s="1" t="s">
        <v>1005</v>
      </c>
      <c r="C66" s="1" t="s">
        <v>52</v>
      </c>
      <c r="D66" s="1" t="s">
        <v>27</v>
      </c>
      <c r="E66" s="1">
        <v>150</v>
      </c>
    </row>
    <row r="67" spans="1:6" x14ac:dyDescent="0.2">
      <c r="A67" s="205">
        <v>0.68265046296296295</v>
      </c>
      <c r="B67" s="1" t="s">
        <v>999</v>
      </c>
      <c r="C67" s="1">
        <v>120</v>
      </c>
      <c r="D67" s="1" t="s">
        <v>29</v>
      </c>
      <c r="E67" s="1">
        <v>120</v>
      </c>
      <c r="F67" s="1">
        <v>370</v>
      </c>
    </row>
    <row r="68" spans="1:6" x14ac:dyDescent="0.2">
      <c r="A68" s="205">
        <v>0.68267361111111102</v>
      </c>
      <c r="B68" s="1" t="s">
        <v>1000</v>
      </c>
      <c r="C68" s="1" t="s">
        <v>52</v>
      </c>
      <c r="D68" s="1" t="s">
        <v>29</v>
      </c>
      <c r="E68" s="1">
        <v>120</v>
      </c>
      <c r="F68" s="1">
        <v>370</v>
      </c>
    </row>
    <row r="69" spans="1:6" x14ac:dyDescent="0.2">
      <c r="A69" s="205">
        <v>0.68268518518518517</v>
      </c>
      <c r="B69" s="1" t="s">
        <v>998</v>
      </c>
      <c r="C69" s="1">
        <v>53</v>
      </c>
      <c r="D69" s="1" t="s">
        <v>29</v>
      </c>
      <c r="E69" s="1">
        <v>130</v>
      </c>
      <c r="F69" s="1">
        <v>400</v>
      </c>
    </row>
    <row r="70" spans="1:6" x14ac:dyDescent="0.2">
      <c r="A70" s="205">
        <v>0.68270833333333336</v>
      </c>
      <c r="B70" s="1" t="s">
        <v>1002</v>
      </c>
      <c r="C70" s="1">
        <v>120</v>
      </c>
      <c r="D70" s="1" t="s">
        <v>29</v>
      </c>
      <c r="E70" s="1">
        <v>130</v>
      </c>
      <c r="F70" s="1">
        <v>400</v>
      </c>
    </row>
    <row r="71" spans="1:6" x14ac:dyDescent="0.2">
      <c r="A71" s="205">
        <v>0.68273148148148144</v>
      </c>
      <c r="B71" s="1" t="s">
        <v>997</v>
      </c>
      <c r="C71" s="1">
        <v>93</v>
      </c>
      <c r="D71" s="1" t="s">
        <v>29</v>
      </c>
      <c r="E71" s="1">
        <v>140</v>
      </c>
      <c r="F71" s="1">
        <v>420</v>
      </c>
    </row>
    <row r="72" spans="1:6" x14ac:dyDescent="0.2">
      <c r="A72" s="205">
        <v>0.68275462962962974</v>
      </c>
      <c r="B72" s="1" t="s">
        <v>1003</v>
      </c>
      <c r="C72" s="1" t="s">
        <v>52</v>
      </c>
      <c r="D72" s="1" t="s">
        <v>29</v>
      </c>
      <c r="E72" s="1">
        <v>140</v>
      </c>
      <c r="F72" s="1">
        <v>425</v>
      </c>
    </row>
    <row r="73" spans="1:6" x14ac:dyDescent="0.2">
      <c r="A73" s="205">
        <v>0.68277777777777782</v>
      </c>
      <c r="B73" s="1" t="s">
        <v>1005</v>
      </c>
      <c r="C73" s="1" t="s">
        <v>52</v>
      </c>
      <c r="D73" s="1" t="s">
        <v>29</v>
      </c>
      <c r="E73" s="1">
        <v>150</v>
      </c>
      <c r="F73" s="1">
        <v>450</v>
      </c>
    </row>
    <row r="74" spans="1:6" x14ac:dyDescent="0.2">
      <c r="A74" s="205">
        <v>3.5787037037037034E-2</v>
      </c>
      <c r="B74" s="1" t="s">
        <v>974</v>
      </c>
      <c r="C74" s="1">
        <v>43</v>
      </c>
      <c r="D74" s="1" t="s">
        <v>27</v>
      </c>
      <c r="E74" s="1">
        <v>-100</v>
      </c>
    </row>
    <row r="75" spans="1:6" x14ac:dyDescent="0.2">
      <c r="A75" s="205">
        <v>3.5821759259259262E-2</v>
      </c>
      <c r="B75" s="1" t="s">
        <v>978</v>
      </c>
      <c r="C75" s="1">
        <v>47</v>
      </c>
      <c r="D75" s="1" t="s">
        <v>27</v>
      </c>
      <c r="E75" s="1">
        <v>-110</v>
      </c>
    </row>
    <row r="76" spans="1:6" x14ac:dyDescent="0.2">
      <c r="A76" s="205">
        <v>3.5856481481481482E-2</v>
      </c>
      <c r="B76" s="1" t="s">
        <v>980</v>
      </c>
      <c r="C76" s="1">
        <v>59</v>
      </c>
      <c r="D76" s="1" t="s">
        <v>27</v>
      </c>
      <c r="E76" s="1">
        <v>-120</v>
      </c>
    </row>
    <row r="77" spans="1:6" x14ac:dyDescent="0.2">
      <c r="A77" s="205">
        <v>3.605324074074074E-2</v>
      </c>
      <c r="B77" s="1" t="s">
        <v>989</v>
      </c>
      <c r="C77" s="1">
        <v>74</v>
      </c>
      <c r="D77" s="1" t="s">
        <v>27</v>
      </c>
      <c r="E77" s="1">
        <v>-160</v>
      </c>
    </row>
    <row r="78" spans="1:6" x14ac:dyDescent="0.2">
      <c r="A78" s="205">
        <v>3.6122685185185181E-2</v>
      </c>
      <c r="B78" s="1" t="s">
        <v>989</v>
      </c>
      <c r="C78" s="1">
        <v>74</v>
      </c>
      <c r="D78" s="1" t="s">
        <v>27</v>
      </c>
      <c r="E78" s="1">
        <v>160</v>
      </c>
      <c r="F78" s="1">
        <v>490</v>
      </c>
    </row>
    <row r="79" spans="1:6" x14ac:dyDescent="0.2">
      <c r="A79" s="205">
        <v>3.6168981481481483E-2</v>
      </c>
      <c r="B79" s="1" t="s">
        <v>989</v>
      </c>
      <c r="C79" s="1">
        <v>74</v>
      </c>
      <c r="D79" s="1" t="s">
        <v>27</v>
      </c>
      <c r="E79" s="1">
        <v>-160</v>
      </c>
    </row>
    <row r="80" spans="1:6" x14ac:dyDescent="0.2">
      <c r="A80" s="205">
        <v>3.619212962962963E-2</v>
      </c>
      <c r="B80" s="1" t="s">
        <v>989</v>
      </c>
      <c r="C80" s="1">
        <v>74</v>
      </c>
      <c r="D80" s="1" t="s">
        <v>27</v>
      </c>
      <c r="E80" s="1">
        <v>160</v>
      </c>
      <c r="F80" s="1">
        <v>490</v>
      </c>
    </row>
    <row r="81" spans="1:6" x14ac:dyDescent="0.2">
      <c r="A81" s="205">
        <v>3.6273148148148145E-2</v>
      </c>
      <c r="B81" s="1" t="s">
        <v>989</v>
      </c>
      <c r="C81" s="1">
        <v>74</v>
      </c>
      <c r="D81" s="1" t="s">
        <v>27</v>
      </c>
      <c r="E81" s="1">
        <v>-160</v>
      </c>
    </row>
    <row r="82" spans="1:6" x14ac:dyDescent="0.2">
      <c r="A82" s="205">
        <v>3.6296296296296292E-2</v>
      </c>
      <c r="B82" s="1" t="s">
        <v>989</v>
      </c>
      <c r="C82" s="1">
        <v>74</v>
      </c>
      <c r="D82" s="1" t="s">
        <v>27</v>
      </c>
      <c r="E82" s="1">
        <v>-160</v>
      </c>
    </row>
    <row r="83" spans="1:6" x14ac:dyDescent="0.2">
      <c r="A83" s="205">
        <v>3.6342592592592593E-2</v>
      </c>
      <c r="B83" s="1" t="s">
        <v>989</v>
      </c>
      <c r="C83" s="1">
        <v>74</v>
      </c>
      <c r="D83" s="1" t="s">
        <v>27</v>
      </c>
      <c r="E83" s="1">
        <v>-160</v>
      </c>
    </row>
    <row r="84" spans="1:6" x14ac:dyDescent="0.2">
      <c r="A84" s="205">
        <v>3.6805555555555557E-2</v>
      </c>
      <c r="B84" s="1" t="s">
        <v>974</v>
      </c>
      <c r="C84" s="1">
        <v>43</v>
      </c>
      <c r="D84" s="1" t="s">
        <v>27</v>
      </c>
      <c r="E84" s="1">
        <v>100</v>
      </c>
      <c r="F84" s="1">
        <v>300</v>
      </c>
    </row>
    <row r="85" spans="1:6" x14ac:dyDescent="0.2">
      <c r="A85" s="205">
        <v>3.6828703703703704E-2</v>
      </c>
      <c r="B85" s="1" t="s">
        <v>978</v>
      </c>
      <c r="C85" s="1">
        <v>47</v>
      </c>
      <c r="D85" s="1" t="s">
        <v>27</v>
      </c>
      <c r="E85" s="1">
        <v>110</v>
      </c>
      <c r="F85" s="1">
        <v>330</v>
      </c>
    </row>
    <row r="86" spans="1:6" x14ac:dyDescent="0.2">
      <c r="A86" s="205">
        <v>3.6840277777777777E-2</v>
      </c>
      <c r="B86" s="1" t="s">
        <v>980</v>
      </c>
      <c r="C86" s="1">
        <v>59</v>
      </c>
      <c r="D86" s="1" t="s">
        <v>27</v>
      </c>
      <c r="E86" s="1">
        <v>120</v>
      </c>
      <c r="F86" s="1">
        <v>360</v>
      </c>
    </row>
    <row r="87" spans="1:6" x14ac:dyDescent="0.2">
      <c r="A87" s="205">
        <v>3.6863425925925931E-2</v>
      </c>
      <c r="B87" s="1" t="s">
        <v>982</v>
      </c>
      <c r="C87" s="1">
        <v>59</v>
      </c>
      <c r="D87" s="1" t="s">
        <v>27</v>
      </c>
      <c r="E87" s="1">
        <v>130</v>
      </c>
      <c r="F87" s="1">
        <v>390</v>
      </c>
    </row>
    <row r="88" spans="1:6" x14ac:dyDescent="0.2">
      <c r="A88" s="205">
        <v>3.7118055555555557E-2</v>
      </c>
      <c r="B88" s="1" t="s">
        <v>974</v>
      </c>
      <c r="C88" s="1">
        <v>43</v>
      </c>
      <c r="D88" s="1" t="s">
        <v>27</v>
      </c>
      <c r="E88" s="1">
        <v>100</v>
      </c>
      <c r="F88" s="1">
        <v>300</v>
      </c>
    </row>
    <row r="89" spans="1:6" x14ac:dyDescent="0.2">
      <c r="A89" s="205">
        <v>3.7141203703703704E-2</v>
      </c>
      <c r="B89" s="1" t="s">
        <v>978</v>
      </c>
      <c r="C89" s="1">
        <v>47</v>
      </c>
      <c r="D89" s="1" t="s">
        <v>27</v>
      </c>
      <c r="E89" s="1">
        <v>110</v>
      </c>
      <c r="F89" s="1">
        <v>330</v>
      </c>
    </row>
    <row r="90" spans="1:6" x14ac:dyDescent="0.2">
      <c r="A90" s="205">
        <v>3.7164351851851851E-2</v>
      </c>
      <c r="B90" s="1" t="s">
        <v>980</v>
      </c>
      <c r="C90" s="1">
        <v>59</v>
      </c>
      <c r="D90" s="1" t="s">
        <v>27</v>
      </c>
      <c r="E90" s="1">
        <v>120</v>
      </c>
      <c r="F90" s="1">
        <v>360</v>
      </c>
    </row>
    <row r="91" spans="1:6" x14ac:dyDescent="0.2">
      <c r="A91" s="205">
        <v>3.7187499999999998E-2</v>
      </c>
      <c r="B91" s="1" t="s">
        <v>982</v>
      </c>
      <c r="C91" s="1">
        <v>59</v>
      </c>
      <c r="D91" s="1" t="s">
        <v>27</v>
      </c>
      <c r="E91" s="1">
        <v>130</v>
      </c>
      <c r="F91" s="1">
        <v>390</v>
      </c>
    </row>
    <row r="92" spans="1:6" x14ac:dyDescent="0.2">
      <c r="A92" s="205">
        <v>3.7199074074074072E-2</v>
      </c>
      <c r="B92" s="1" t="s">
        <v>987</v>
      </c>
      <c r="C92" s="1">
        <v>66</v>
      </c>
      <c r="D92" s="1" t="s">
        <v>27</v>
      </c>
      <c r="E92" s="1">
        <v>140</v>
      </c>
      <c r="F92" s="1">
        <v>422.5</v>
      </c>
    </row>
    <row r="93" spans="1:6" x14ac:dyDescent="0.2">
      <c r="A93" s="205">
        <v>3.72337962962963E-2</v>
      </c>
      <c r="B93" s="1" t="s">
        <v>984</v>
      </c>
      <c r="C93" s="1">
        <v>59</v>
      </c>
      <c r="D93" s="1" t="s">
        <v>27</v>
      </c>
      <c r="E93" s="1">
        <v>150</v>
      </c>
      <c r="F93" s="1">
        <v>450</v>
      </c>
    </row>
    <row r="94" spans="1:6" x14ac:dyDescent="0.2">
      <c r="A94" s="205">
        <v>3.7256944444444447E-2</v>
      </c>
      <c r="B94" s="1" t="s">
        <v>994</v>
      </c>
      <c r="C94" s="1">
        <v>53</v>
      </c>
      <c r="D94" s="1" t="s">
        <v>27</v>
      </c>
      <c r="E94" s="1">
        <v>150</v>
      </c>
      <c r="F94" s="1">
        <v>450</v>
      </c>
    </row>
    <row r="95" spans="1:6" x14ac:dyDescent="0.2">
      <c r="A95" s="205">
        <v>3.7268518518518513E-2</v>
      </c>
      <c r="B95" s="1" t="s">
        <v>989</v>
      </c>
      <c r="C95" s="1">
        <v>74</v>
      </c>
      <c r="D95" s="1" t="s">
        <v>27</v>
      </c>
      <c r="E95" s="1">
        <v>160</v>
      </c>
      <c r="F95" s="1">
        <v>490</v>
      </c>
    </row>
    <row r="96" spans="1:6" x14ac:dyDescent="0.2">
      <c r="A96" s="205">
        <v>3.7291666666666667E-2</v>
      </c>
      <c r="B96" s="1" t="s">
        <v>993</v>
      </c>
      <c r="C96" s="1">
        <v>83</v>
      </c>
      <c r="D96" s="1" t="s">
        <v>27</v>
      </c>
      <c r="E96" s="1">
        <v>160</v>
      </c>
      <c r="F96" s="1">
        <v>480</v>
      </c>
    </row>
    <row r="97" spans="1:6" x14ac:dyDescent="0.2">
      <c r="A97" s="205">
        <v>3.7303240740740741E-2</v>
      </c>
      <c r="B97" s="1" t="s">
        <v>990</v>
      </c>
      <c r="C97" s="1">
        <v>59</v>
      </c>
      <c r="D97" s="1" t="s">
        <v>27</v>
      </c>
      <c r="E97" s="1">
        <v>180</v>
      </c>
      <c r="F97" s="1">
        <v>545</v>
      </c>
    </row>
    <row r="98" spans="1:6" x14ac:dyDescent="0.2">
      <c r="A98" s="205">
        <v>0.60098379629629628</v>
      </c>
      <c r="B98" s="1" t="s">
        <v>974</v>
      </c>
      <c r="C98" s="1">
        <v>43</v>
      </c>
      <c r="D98" s="1" t="s">
        <v>29</v>
      </c>
      <c r="E98" s="1">
        <v>100</v>
      </c>
    </row>
    <row r="99" spans="1:6" x14ac:dyDescent="0.2">
      <c r="A99" s="205">
        <v>0.60100694444444447</v>
      </c>
      <c r="B99" s="1" t="s">
        <v>978</v>
      </c>
      <c r="C99" s="1">
        <v>47</v>
      </c>
      <c r="D99" s="1" t="s">
        <v>29</v>
      </c>
      <c r="E99" s="1">
        <v>110</v>
      </c>
    </row>
    <row r="100" spans="1:6" x14ac:dyDescent="0.2">
      <c r="A100" s="205">
        <v>0.60103009259259255</v>
      </c>
      <c r="B100" s="1" t="s">
        <v>980</v>
      </c>
      <c r="C100" s="1">
        <v>59</v>
      </c>
      <c r="D100" s="1" t="s">
        <v>29</v>
      </c>
      <c r="E100" s="1">
        <v>-120</v>
      </c>
    </row>
    <row r="101" spans="1:6" x14ac:dyDescent="0.2">
      <c r="A101" s="205">
        <v>0.6010416666666667</v>
      </c>
      <c r="B101" s="1" t="s">
        <v>982</v>
      </c>
      <c r="C101" s="1">
        <v>59</v>
      </c>
      <c r="D101" s="1" t="s">
        <v>29</v>
      </c>
      <c r="E101" s="1">
        <v>130</v>
      </c>
    </row>
    <row r="102" spans="1:6" x14ac:dyDescent="0.2">
      <c r="A102" s="205">
        <v>0.60106481481481489</v>
      </c>
      <c r="B102" s="1" t="s">
        <v>987</v>
      </c>
      <c r="C102" s="1">
        <v>66</v>
      </c>
      <c r="D102" s="1" t="s">
        <v>29</v>
      </c>
      <c r="E102" s="1">
        <v>140</v>
      </c>
    </row>
    <row r="103" spans="1:6" x14ac:dyDescent="0.2">
      <c r="A103" s="205">
        <v>0.60107638888888892</v>
      </c>
      <c r="B103" s="1" t="s">
        <v>984</v>
      </c>
      <c r="C103" s="1">
        <v>59</v>
      </c>
      <c r="D103" s="1" t="s">
        <v>29</v>
      </c>
      <c r="E103" s="1">
        <v>150</v>
      </c>
    </row>
    <row r="104" spans="1:6" x14ac:dyDescent="0.2">
      <c r="A104" s="205">
        <v>0.60108796296296296</v>
      </c>
      <c r="B104" s="1" t="s">
        <v>994</v>
      </c>
      <c r="C104" s="1">
        <v>53</v>
      </c>
      <c r="D104" s="1" t="s">
        <v>29</v>
      </c>
      <c r="E104" s="1">
        <v>150</v>
      </c>
    </row>
    <row r="105" spans="1:6" x14ac:dyDescent="0.2">
      <c r="A105" s="205">
        <v>0.60112268518518519</v>
      </c>
      <c r="B105" s="1" t="s">
        <v>989</v>
      </c>
      <c r="C105" s="1">
        <v>74</v>
      </c>
      <c r="D105" s="1" t="s">
        <v>29</v>
      </c>
      <c r="E105" s="1">
        <v>160</v>
      </c>
    </row>
    <row r="106" spans="1:6" x14ac:dyDescent="0.2">
      <c r="A106" s="205">
        <v>0.60113425925925923</v>
      </c>
      <c r="B106" s="1" t="s">
        <v>993</v>
      </c>
      <c r="C106" s="1">
        <v>83</v>
      </c>
      <c r="D106" s="1" t="s">
        <v>29</v>
      </c>
      <c r="E106" s="1">
        <v>160</v>
      </c>
    </row>
    <row r="107" spans="1:6" x14ac:dyDescent="0.2">
      <c r="A107" s="205">
        <v>0.60114583333333338</v>
      </c>
      <c r="B107" s="1" t="s">
        <v>990</v>
      </c>
      <c r="C107" s="1">
        <v>59</v>
      </c>
      <c r="D107" s="1" t="s">
        <v>29</v>
      </c>
      <c r="E107" s="1">
        <v>180</v>
      </c>
    </row>
    <row r="108" spans="1:6" x14ac:dyDescent="0.2">
      <c r="A108" s="205">
        <v>0.60820601851851852</v>
      </c>
      <c r="B108" s="1" t="s">
        <v>991</v>
      </c>
      <c r="C108" s="1">
        <v>83</v>
      </c>
      <c r="D108" s="1" t="s">
        <v>29</v>
      </c>
      <c r="E108" s="1">
        <v>200</v>
      </c>
      <c r="F108" s="1">
        <v>605</v>
      </c>
    </row>
    <row r="109" spans="1:6" x14ac:dyDescent="0.2">
      <c r="A109" s="205">
        <v>0.60832175925925924</v>
      </c>
      <c r="B109" s="1" t="s">
        <v>974</v>
      </c>
      <c r="C109" s="1">
        <v>43</v>
      </c>
      <c r="D109" s="1" t="s">
        <v>31</v>
      </c>
      <c r="E109" s="1">
        <v>120</v>
      </c>
      <c r="F109" s="1">
        <v>320</v>
      </c>
    </row>
    <row r="110" spans="1:6" x14ac:dyDescent="0.2">
      <c r="A110" s="205">
        <v>0.60833333333333328</v>
      </c>
      <c r="B110" s="1" t="s">
        <v>978</v>
      </c>
      <c r="C110" s="1">
        <v>47</v>
      </c>
      <c r="D110" s="1" t="s">
        <v>31</v>
      </c>
      <c r="E110" s="1">
        <v>130</v>
      </c>
      <c r="F110" s="1">
        <v>350</v>
      </c>
    </row>
    <row r="111" spans="1:6" x14ac:dyDescent="0.2">
      <c r="A111" s="205">
        <v>0.60835648148148147</v>
      </c>
      <c r="B111" s="1" t="s">
        <v>980</v>
      </c>
      <c r="C111" s="1">
        <v>59</v>
      </c>
      <c r="D111" s="1" t="s">
        <v>31</v>
      </c>
      <c r="E111" s="1">
        <v>140</v>
      </c>
    </row>
    <row r="112" spans="1:6" x14ac:dyDescent="0.2">
      <c r="A112" s="205">
        <v>0.60837962962962966</v>
      </c>
      <c r="B112" s="1" t="s">
        <v>982</v>
      </c>
      <c r="C112" s="1">
        <v>59</v>
      </c>
      <c r="D112" s="1" t="s">
        <v>31</v>
      </c>
      <c r="E112" s="1">
        <v>150</v>
      </c>
      <c r="F112" s="1">
        <v>410</v>
      </c>
    </row>
    <row r="113" spans="1:6" x14ac:dyDescent="0.2">
      <c r="A113" s="205">
        <v>0.6083912037037037</v>
      </c>
      <c r="B113" s="1" t="s">
        <v>987</v>
      </c>
      <c r="C113" s="1">
        <v>66</v>
      </c>
      <c r="D113" s="1" t="s">
        <v>31</v>
      </c>
      <c r="E113" s="1">
        <v>160</v>
      </c>
      <c r="F113" s="1">
        <v>442.5</v>
      </c>
    </row>
    <row r="114" spans="1:6" x14ac:dyDescent="0.2">
      <c r="A114" s="205">
        <v>0.60841435185185189</v>
      </c>
      <c r="B114" s="1" t="s">
        <v>984</v>
      </c>
      <c r="C114" s="1">
        <v>59</v>
      </c>
      <c r="D114" s="1" t="s">
        <v>31</v>
      </c>
      <c r="E114" s="1">
        <v>170</v>
      </c>
      <c r="F114" s="1">
        <v>470</v>
      </c>
    </row>
    <row r="115" spans="1:6" x14ac:dyDescent="0.2">
      <c r="A115" s="205">
        <v>0.60842592592592593</v>
      </c>
      <c r="B115" s="1" t="s">
        <v>994</v>
      </c>
      <c r="C115" s="1">
        <v>53</v>
      </c>
      <c r="D115" s="1" t="s">
        <v>31</v>
      </c>
      <c r="E115" s="1">
        <v>180</v>
      </c>
      <c r="F115" s="1">
        <v>480</v>
      </c>
    </row>
    <row r="116" spans="1:6" x14ac:dyDescent="0.2">
      <c r="A116" s="205">
        <v>0.60843749999999996</v>
      </c>
      <c r="B116" s="1" t="s">
        <v>989</v>
      </c>
      <c r="C116" s="1">
        <v>74</v>
      </c>
      <c r="D116" s="1" t="s">
        <v>31</v>
      </c>
      <c r="E116" s="1">
        <v>190</v>
      </c>
      <c r="F116" s="1">
        <v>520</v>
      </c>
    </row>
    <row r="117" spans="1:6" x14ac:dyDescent="0.2">
      <c r="A117" s="205">
        <v>0.60846064814814815</v>
      </c>
      <c r="B117" s="1" t="s">
        <v>990</v>
      </c>
      <c r="C117" s="1">
        <v>59</v>
      </c>
      <c r="D117" s="1" t="s">
        <v>31</v>
      </c>
      <c r="E117" s="1">
        <v>190</v>
      </c>
      <c r="F117" s="1">
        <v>555</v>
      </c>
    </row>
    <row r="118" spans="1:6" x14ac:dyDescent="0.2">
      <c r="A118" s="205">
        <v>0.60847222222222219</v>
      </c>
      <c r="B118" s="1" t="s">
        <v>993</v>
      </c>
      <c r="C118" s="1">
        <v>83</v>
      </c>
      <c r="D118" s="1" t="s">
        <v>31</v>
      </c>
      <c r="E118" s="1">
        <v>200</v>
      </c>
      <c r="F118" s="1">
        <v>520</v>
      </c>
    </row>
    <row r="119" spans="1:6" x14ac:dyDescent="0.2">
      <c r="A119" s="205">
        <v>0.6086111111111111</v>
      </c>
      <c r="B119" s="1" t="s">
        <v>991</v>
      </c>
      <c r="C119" s="1">
        <v>83</v>
      </c>
      <c r="D119" s="1" t="s">
        <v>31</v>
      </c>
      <c r="E119" s="1">
        <v>220</v>
      </c>
      <c r="F119" s="1">
        <v>625</v>
      </c>
    </row>
    <row r="120" spans="1:6" x14ac:dyDescent="0.2">
      <c r="A120" s="205">
        <v>0.60863425925925929</v>
      </c>
      <c r="B120" s="1" t="s">
        <v>991</v>
      </c>
      <c r="C120" s="1">
        <v>83</v>
      </c>
      <c r="D120" s="1" t="s">
        <v>31</v>
      </c>
      <c r="E120" s="1">
        <v>-220</v>
      </c>
      <c r="F120" s="1">
        <v>605</v>
      </c>
    </row>
    <row r="121" spans="1:6" x14ac:dyDescent="0.2">
      <c r="A121" s="205">
        <v>0.97288194444444442</v>
      </c>
      <c r="B121" s="1" t="s">
        <v>974</v>
      </c>
      <c r="C121" s="1">
        <v>43</v>
      </c>
      <c r="D121" s="1" t="s">
        <v>27</v>
      </c>
      <c r="E121" s="1">
        <v>-100</v>
      </c>
    </row>
    <row r="122" spans="1:6" x14ac:dyDescent="0.2">
      <c r="A122" s="205">
        <v>0.97299768518518526</v>
      </c>
      <c r="B122" s="1" t="s">
        <v>980</v>
      </c>
      <c r="C122" s="1">
        <v>52</v>
      </c>
      <c r="D122" s="1" t="s">
        <v>27</v>
      </c>
      <c r="E122" s="1">
        <v>-120</v>
      </c>
    </row>
    <row r="123" spans="1:6" x14ac:dyDescent="0.2">
      <c r="A123" s="205">
        <v>0.97305555555555545</v>
      </c>
      <c r="B123" s="1" t="s">
        <v>982</v>
      </c>
      <c r="C123" s="1">
        <v>57</v>
      </c>
      <c r="D123" s="1" t="s">
        <v>27</v>
      </c>
      <c r="E123" s="1">
        <v>130</v>
      </c>
    </row>
    <row r="124" spans="1:6" x14ac:dyDescent="0.2">
      <c r="A124" s="205">
        <v>0.97317129629629628</v>
      </c>
      <c r="B124" s="1" t="s">
        <v>984</v>
      </c>
      <c r="C124" s="1">
        <v>63</v>
      </c>
      <c r="D124" s="1" t="s">
        <v>27</v>
      </c>
      <c r="E124" s="1">
        <v>-150</v>
      </c>
    </row>
    <row r="125" spans="1:6" x14ac:dyDescent="0.2">
      <c r="A125" s="205">
        <v>0.97324074074074074</v>
      </c>
      <c r="B125" s="1" t="s">
        <v>994</v>
      </c>
      <c r="C125" s="1">
        <v>57</v>
      </c>
      <c r="D125" s="1" t="s">
        <v>27</v>
      </c>
      <c r="E125" s="1">
        <v>160</v>
      </c>
    </row>
    <row r="126" spans="1:6" x14ac:dyDescent="0.2">
      <c r="A126" s="205">
        <v>0.98009259259259263</v>
      </c>
      <c r="B126" s="1" t="s">
        <v>974</v>
      </c>
      <c r="C126" s="1">
        <v>43</v>
      </c>
      <c r="D126" s="1" t="s">
        <v>27</v>
      </c>
      <c r="E126" s="1">
        <v>100</v>
      </c>
    </row>
    <row r="127" spans="1:6" x14ac:dyDescent="0.2">
      <c r="A127" s="205">
        <v>0.9801157407407407</v>
      </c>
      <c r="B127" s="1" t="s">
        <v>978</v>
      </c>
      <c r="C127" s="1">
        <v>47</v>
      </c>
      <c r="D127" s="1" t="s">
        <v>27</v>
      </c>
      <c r="E127" s="1">
        <v>-110</v>
      </c>
    </row>
    <row r="128" spans="1:6" x14ac:dyDescent="0.2">
      <c r="A128" s="205">
        <v>0.98012731481481474</v>
      </c>
      <c r="B128" s="1" t="s">
        <v>980</v>
      </c>
      <c r="C128" s="1">
        <v>52</v>
      </c>
      <c r="D128" s="1" t="s">
        <v>27</v>
      </c>
      <c r="E128" s="1">
        <v>120</v>
      </c>
    </row>
    <row r="129" spans="1:6" x14ac:dyDescent="0.2">
      <c r="A129" s="205">
        <v>0.98015046296296304</v>
      </c>
      <c r="B129" s="1" t="s">
        <v>982</v>
      </c>
      <c r="C129" s="1">
        <v>57</v>
      </c>
      <c r="D129" s="1" t="s">
        <v>27</v>
      </c>
      <c r="E129" s="1">
        <v>130</v>
      </c>
    </row>
    <row r="130" spans="1:6" x14ac:dyDescent="0.2">
      <c r="A130" s="205">
        <v>0.98017361111111112</v>
      </c>
      <c r="B130" s="1" t="s">
        <v>987</v>
      </c>
      <c r="C130" s="1">
        <v>72</v>
      </c>
      <c r="D130" s="1" t="s">
        <v>27</v>
      </c>
      <c r="E130" s="1">
        <v>140</v>
      </c>
    </row>
    <row r="131" spans="1:6" x14ac:dyDescent="0.2">
      <c r="A131" s="205">
        <v>0.98018518518518516</v>
      </c>
      <c r="B131" s="1" t="s">
        <v>984</v>
      </c>
      <c r="C131" s="1">
        <v>63</v>
      </c>
      <c r="D131" s="1" t="s">
        <v>27</v>
      </c>
      <c r="E131" s="1">
        <v>-150</v>
      </c>
    </row>
    <row r="132" spans="1:6" x14ac:dyDescent="0.2">
      <c r="A132" s="205">
        <v>0.98019675925925931</v>
      </c>
      <c r="B132" s="1" t="s">
        <v>994</v>
      </c>
      <c r="C132" s="1">
        <v>57</v>
      </c>
      <c r="D132" s="1" t="s">
        <v>27</v>
      </c>
      <c r="E132" s="1">
        <v>160</v>
      </c>
    </row>
    <row r="133" spans="1:6" x14ac:dyDescent="0.2">
      <c r="A133" s="205">
        <v>0.98021990740740739</v>
      </c>
      <c r="B133" s="1" t="s">
        <v>989</v>
      </c>
      <c r="C133" s="1">
        <v>72</v>
      </c>
      <c r="D133" s="1" t="s">
        <v>27</v>
      </c>
      <c r="E133" s="1">
        <v>-170</v>
      </c>
    </row>
    <row r="134" spans="1:6" x14ac:dyDescent="0.2">
      <c r="A134" s="205">
        <v>0.98023148148148154</v>
      </c>
      <c r="B134" s="1" t="s">
        <v>993</v>
      </c>
      <c r="C134" s="1">
        <v>84</v>
      </c>
      <c r="D134" s="1" t="s">
        <v>27</v>
      </c>
      <c r="E134" s="1">
        <v>-180</v>
      </c>
    </row>
    <row r="135" spans="1:6" x14ac:dyDescent="0.2">
      <c r="A135" s="205">
        <v>0.98025462962962961</v>
      </c>
      <c r="B135" s="1" t="s">
        <v>990</v>
      </c>
      <c r="C135" s="1">
        <v>84</v>
      </c>
      <c r="D135" s="1" t="s">
        <v>27</v>
      </c>
      <c r="E135" s="1">
        <v>190</v>
      </c>
    </row>
    <row r="136" spans="1:6" x14ac:dyDescent="0.2">
      <c r="A136" s="205">
        <v>0.9802777777777778</v>
      </c>
      <c r="B136" s="1" t="s">
        <v>991</v>
      </c>
      <c r="C136" s="1">
        <v>84</v>
      </c>
      <c r="D136" s="1" t="s">
        <v>27</v>
      </c>
      <c r="E136" s="1">
        <v>200</v>
      </c>
    </row>
    <row r="137" spans="1:6" x14ac:dyDescent="0.2">
      <c r="A137" s="205">
        <v>0.98055555555555562</v>
      </c>
      <c r="B137" s="1" t="s">
        <v>974</v>
      </c>
      <c r="C137" s="1">
        <v>43</v>
      </c>
      <c r="D137" s="1" t="s">
        <v>31</v>
      </c>
      <c r="E137" s="1">
        <v>120</v>
      </c>
    </row>
    <row r="138" spans="1:6" x14ac:dyDescent="0.2">
      <c r="A138" s="205">
        <v>0.9805787037037037</v>
      </c>
      <c r="B138" s="1" t="s">
        <v>978</v>
      </c>
      <c r="C138" s="1">
        <v>47</v>
      </c>
      <c r="D138" s="1" t="s">
        <v>31</v>
      </c>
      <c r="E138" s="1">
        <v>130</v>
      </c>
    </row>
    <row r="139" spans="1:6" x14ac:dyDescent="0.2">
      <c r="A139" s="205">
        <v>0.98060185185185189</v>
      </c>
      <c r="B139" s="1" t="s">
        <v>980</v>
      </c>
      <c r="C139" s="1">
        <v>52</v>
      </c>
      <c r="D139" s="1" t="s">
        <v>31</v>
      </c>
      <c r="E139" s="1">
        <v>-140</v>
      </c>
      <c r="F139" s="1">
        <v>360</v>
      </c>
    </row>
    <row r="140" spans="1:6" x14ac:dyDescent="0.2">
      <c r="A140" s="205">
        <v>0.98061342592592593</v>
      </c>
      <c r="B140" s="1" t="s">
        <v>982</v>
      </c>
      <c r="C140" s="1">
        <v>57</v>
      </c>
      <c r="D140" s="1" t="s">
        <v>31</v>
      </c>
      <c r="E140" s="1">
        <v>150</v>
      </c>
    </row>
    <row r="141" spans="1:6" x14ac:dyDescent="0.2">
      <c r="A141" s="205">
        <v>0.98062499999999997</v>
      </c>
      <c r="B141" s="1" t="s">
        <v>987</v>
      </c>
      <c r="C141" s="1">
        <v>72</v>
      </c>
      <c r="D141" s="1" t="s">
        <v>31</v>
      </c>
      <c r="E141" s="1">
        <v>-160</v>
      </c>
      <c r="F141" s="1">
        <v>420</v>
      </c>
    </row>
    <row r="142" spans="1:6" x14ac:dyDescent="0.2">
      <c r="A142" s="205">
        <v>0.98063657407407412</v>
      </c>
      <c r="B142" s="1" t="s">
        <v>984</v>
      </c>
      <c r="C142" s="1">
        <v>63</v>
      </c>
      <c r="D142" s="1" t="s">
        <v>31</v>
      </c>
      <c r="E142" s="1">
        <v>170</v>
      </c>
    </row>
    <row r="143" spans="1:6" x14ac:dyDescent="0.2">
      <c r="A143" s="205">
        <v>0.9806597222222222</v>
      </c>
      <c r="B143" s="1" t="s">
        <v>994</v>
      </c>
      <c r="C143" s="1">
        <v>57</v>
      </c>
      <c r="D143" s="1" t="s">
        <v>31</v>
      </c>
      <c r="E143" s="1">
        <v>-180</v>
      </c>
      <c r="F143" s="1">
        <v>480</v>
      </c>
    </row>
    <row r="144" spans="1:6" x14ac:dyDescent="0.2">
      <c r="A144" s="205">
        <v>0.98068287037037039</v>
      </c>
      <c r="B144" s="1" t="s">
        <v>989</v>
      </c>
      <c r="C144" s="1">
        <v>72</v>
      </c>
      <c r="D144" s="1" t="s">
        <v>31</v>
      </c>
      <c r="E144" s="1">
        <v>190</v>
      </c>
    </row>
    <row r="145" spans="1:6" x14ac:dyDescent="0.2">
      <c r="A145" s="205">
        <v>0.98069444444444442</v>
      </c>
      <c r="B145" s="1" t="s">
        <v>993</v>
      </c>
      <c r="C145" s="1">
        <v>84</v>
      </c>
      <c r="D145" s="1" t="s">
        <v>31</v>
      </c>
      <c r="E145" s="1">
        <v>-200</v>
      </c>
    </row>
    <row r="146" spans="1:6" x14ac:dyDescent="0.2">
      <c r="A146" s="205">
        <v>0.98071759259259261</v>
      </c>
      <c r="B146" s="1" t="s">
        <v>990</v>
      </c>
      <c r="C146" s="1">
        <v>84</v>
      </c>
      <c r="D146" s="1" t="s">
        <v>31</v>
      </c>
      <c r="E146" s="1">
        <v>210</v>
      </c>
    </row>
    <row r="147" spans="1:6" x14ac:dyDescent="0.2">
      <c r="A147" s="205">
        <v>0.98072916666666676</v>
      </c>
      <c r="B147" s="1" t="s">
        <v>991</v>
      </c>
      <c r="C147" s="1">
        <v>84</v>
      </c>
      <c r="D147" s="1" t="s">
        <v>31</v>
      </c>
      <c r="E147" s="1">
        <v>-220</v>
      </c>
      <c r="F147" s="1">
        <v>600</v>
      </c>
    </row>
    <row r="148" spans="1:6" x14ac:dyDescent="0.2">
      <c r="A148" s="205">
        <v>0.98074074074074069</v>
      </c>
      <c r="B148" s="1" t="s">
        <v>991</v>
      </c>
      <c r="C148" s="1">
        <v>84</v>
      </c>
      <c r="D148" s="1" t="s">
        <v>31</v>
      </c>
      <c r="E148" s="1">
        <v>220</v>
      </c>
    </row>
    <row r="149" spans="1:6" x14ac:dyDescent="0.2">
      <c r="A149" s="205">
        <v>0.98105324074074074</v>
      </c>
      <c r="B149" s="1" t="s">
        <v>991</v>
      </c>
      <c r="C149" s="1">
        <v>84</v>
      </c>
      <c r="D149" s="1" t="s">
        <v>31</v>
      </c>
      <c r="E149" s="1">
        <v>-220</v>
      </c>
      <c r="F149" s="1">
        <v>625</v>
      </c>
    </row>
    <row r="150" spans="1:6" x14ac:dyDescent="0.2">
      <c r="A150" s="205">
        <v>0.98106481481481478</v>
      </c>
      <c r="B150" s="1" t="s">
        <v>991</v>
      </c>
      <c r="C150" s="1">
        <v>84</v>
      </c>
      <c r="D150" s="1" t="s">
        <v>31</v>
      </c>
      <c r="E150" s="1">
        <v>-220</v>
      </c>
      <c r="F150" s="1">
        <v>625</v>
      </c>
    </row>
    <row r="151" spans="1:6" x14ac:dyDescent="0.2">
      <c r="A151" s="205">
        <v>0.98113425925925923</v>
      </c>
      <c r="B151" s="1" t="s">
        <v>974</v>
      </c>
      <c r="C151" s="1">
        <v>43</v>
      </c>
      <c r="D151" s="1" t="s">
        <v>35</v>
      </c>
      <c r="E151" s="1">
        <v>-140</v>
      </c>
      <c r="F151" s="1">
        <v>320</v>
      </c>
    </row>
    <row r="152" spans="1:6" x14ac:dyDescent="0.2">
      <c r="A152" s="205">
        <v>0.98114583333333327</v>
      </c>
      <c r="B152" s="1" t="s">
        <v>978</v>
      </c>
      <c r="C152" s="1">
        <v>47</v>
      </c>
      <c r="D152" s="1" t="s">
        <v>35</v>
      </c>
      <c r="E152" s="1">
        <v>-150</v>
      </c>
      <c r="F152" s="1">
        <v>350</v>
      </c>
    </row>
    <row r="153" spans="1:6" x14ac:dyDescent="0.2">
      <c r="A153" s="205">
        <v>0.98115740740740742</v>
      </c>
      <c r="B153" s="1" t="s">
        <v>980</v>
      </c>
      <c r="C153" s="1">
        <v>52</v>
      </c>
      <c r="D153" s="1" t="s">
        <v>35</v>
      </c>
      <c r="E153" s="1">
        <v>-160</v>
      </c>
      <c r="F153" s="1">
        <v>360</v>
      </c>
    </row>
    <row r="154" spans="1:6" x14ac:dyDescent="0.2">
      <c r="A154" s="205">
        <v>0.98116898148148157</v>
      </c>
      <c r="B154" s="1" t="s">
        <v>982</v>
      </c>
      <c r="C154" s="1">
        <v>57</v>
      </c>
      <c r="D154" s="1" t="s">
        <v>35</v>
      </c>
      <c r="E154" s="1">
        <v>-170</v>
      </c>
      <c r="F154" s="1">
        <v>410</v>
      </c>
    </row>
    <row r="155" spans="1:6" x14ac:dyDescent="0.2">
      <c r="A155" s="205">
        <v>0.9811805555555555</v>
      </c>
      <c r="B155" s="1" t="s">
        <v>984</v>
      </c>
      <c r="C155" s="1">
        <v>63</v>
      </c>
      <c r="D155" s="1" t="s">
        <v>35</v>
      </c>
      <c r="E155" s="1">
        <v>-175</v>
      </c>
      <c r="F155" s="1">
        <v>470</v>
      </c>
    </row>
    <row r="156" spans="1:6" x14ac:dyDescent="0.2">
      <c r="A156" s="205">
        <v>0.98119212962962965</v>
      </c>
      <c r="B156" s="1" t="s">
        <v>987</v>
      </c>
      <c r="C156" s="1">
        <v>72</v>
      </c>
      <c r="D156" s="1" t="s">
        <v>35</v>
      </c>
      <c r="E156" s="1">
        <v>-180</v>
      </c>
      <c r="F156" s="1">
        <v>420</v>
      </c>
    </row>
    <row r="157" spans="1:6" x14ac:dyDescent="0.2">
      <c r="A157" s="205">
        <v>0.98121527777777784</v>
      </c>
      <c r="B157" s="1" t="s">
        <v>994</v>
      </c>
      <c r="C157" s="1">
        <v>57</v>
      </c>
      <c r="D157" s="1" t="s">
        <v>35</v>
      </c>
      <c r="E157" s="1">
        <v>-180</v>
      </c>
      <c r="F157" s="1">
        <v>480</v>
      </c>
    </row>
    <row r="158" spans="1:6" x14ac:dyDescent="0.2">
      <c r="A158" s="205">
        <v>0.98122685185185177</v>
      </c>
      <c r="B158" s="1" t="s">
        <v>989</v>
      </c>
      <c r="C158" s="1">
        <v>72</v>
      </c>
      <c r="D158" s="1" t="s">
        <v>35</v>
      </c>
      <c r="E158" s="1">
        <v>-195</v>
      </c>
      <c r="F158" s="1">
        <v>530</v>
      </c>
    </row>
    <row r="159" spans="1:6" x14ac:dyDescent="0.2">
      <c r="A159" s="205">
        <v>0.98123842592592592</v>
      </c>
      <c r="B159" s="1" t="s">
        <v>993</v>
      </c>
      <c r="C159" s="1">
        <v>84</v>
      </c>
      <c r="D159" s="1" t="s">
        <v>35</v>
      </c>
      <c r="E159" s="1">
        <v>-200</v>
      </c>
    </row>
    <row r="160" spans="1:6" x14ac:dyDescent="0.2">
      <c r="A160" s="205">
        <v>0.98125000000000007</v>
      </c>
      <c r="B160" s="1" t="s">
        <v>990</v>
      </c>
      <c r="C160" s="1">
        <v>84</v>
      </c>
      <c r="D160" s="1" t="s">
        <v>35</v>
      </c>
      <c r="E160" s="1">
        <v>215</v>
      </c>
    </row>
    <row r="161" spans="1:6" x14ac:dyDescent="0.2">
      <c r="A161" s="205">
        <v>0.98126157407407411</v>
      </c>
      <c r="B161" s="1" t="s">
        <v>991</v>
      </c>
      <c r="C161" s="1">
        <v>84</v>
      </c>
      <c r="D161" s="1" t="s">
        <v>35</v>
      </c>
      <c r="E161" s="1">
        <v>-225</v>
      </c>
      <c r="F161" s="1">
        <v>600</v>
      </c>
    </row>
    <row r="162" spans="1:6" x14ac:dyDescent="0.2">
      <c r="A162" s="205">
        <v>0.98127314814814814</v>
      </c>
      <c r="B162" s="1" t="s">
        <v>991</v>
      </c>
      <c r="C162" s="1">
        <v>84</v>
      </c>
      <c r="D162" s="1" t="s">
        <v>35</v>
      </c>
      <c r="E162" s="1">
        <v>225</v>
      </c>
    </row>
    <row r="163" spans="1:6" x14ac:dyDescent="0.2">
      <c r="A163" s="205">
        <v>0.98137731481481483</v>
      </c>
      <c r="B163" s="1" t="s">
        <v>974</v>
      </c>
      <c r="C163" s="1">
        <v>43</v>
      </c>
      <c r="D163" s="1" t="s">
        <v>29</v>
      </c>
      <c r="E163" s="1">
        <v>100</v>
      </c>
    </row>
    <row r="164" spans="1:6" x14ac:dyDescent="0.2">
      <c r="A164" s="205">
        <v>0.98138888888888898</v>
      </c>
      <c r="B164" s="1" t="s">
        <v>978</v>
      </c>
      <c r="C164" s="1">
        <v>47</v>
      </c>
      <c r="D164" s="1" t="s">
        <v>29</v>
      </c>
      <c r="E164" s="1">
        <v>-110</v>
      </c>
    </row>
    <row r="165" spans="1:6" x14ac:dyDescent="0.2">
      <c r="A165" s="205">
        <v>0.98141203703703705</v>
      </c>
      <c r="B165" s="1" t="s">
        <v>980</v>
      </c>
      <c r="C165" s="1">
        <v>52</v>
      </c>
      <c r="D165" s="1" t="s">
        <v>29</v>
      </c>
      <c r="E165" s="1">
        <v>120</v>
      </c>
    </row>
    <row r="166" spans="1:6" x14ac:dyDescent="0.2">
      <c r="A166" s="205">
        <v>0.98142361111111109</v>
      </c>
      <c r="B166" s="1" t="s">
        <v>982</v>
      </c>
      <c r="C166" s="1">
        <v>57</v>
      </c>
      <c r="D166" s="1" t="s">
        <v>29</v>
      </c>
      <c r="E166" s="1">
        <v>-130</v>
      </c>
    </row>
    <row r="167" spans="1:6" x14ac:dyDescent="0.2">
      <c r="A167" s="205">
        <v>0.98143518518518524</v>
      </c>
      <c r="B167" s="1" t="s">
        <v>987</v>
      </c>
      <c r="C167" s="1">
        <v>72</v>
      </c>
      <c r="D167" s="1" t="s">
        <v>29</v>
      </c>
      <c r="E167" s="1">
        <v>140</v>
      </c>
    </row>
    <row r="168" spans="1:6" x14ac:dyDescent="0.2">
      <c r="A168" s="205">
        <v>0.98145833333333332</v>
      </c>
      <c r="B168" s="1" t="s">
        <v>984</v>
      </c>
      <c r="C168" s="1">
        <v>63</v>
      </c>
      <c r="D168" s="1" t="s">
        <v>29</v>
      </c>
      <c r="E168" s="1">
        <v>-150</v>
      </c>
    </row>
    <row r="169" spans="1:6" x14ac:dyDescent="0.2">
      <c r="A169" s="205">
        <v>0.98146990740740747</v>
      </c>
      <c r="B169" s="1" t="s">
        <v>994</v>
      </c>
      <c r="C169" s="1">
        <v>57</v>
      </c>
      <c r="D169" s="1" t="s">
        <v>29</v>
      </c>
      <c r="E169" s="1">
        <v>160</v>
      </c>
    </row>
    <row r="170" spans="1:6" x14ac:dyDescent="0.2">
      <c r="A170" s="205">
        <v>0.98148148148148151</v>
      </c>
      <c r="B170" s="1" t="s">
        <v>989</v>
      </c>
      <c r="C170" s="1">
        <v>72</v>
      </c>
      <c r="D170" s="1" t="s">
        <v>29</v>
      </c>
      <c r="E170" s="1">
        <v>-170</v>
      </c>
    </row>
    <row r="171" spans="1:6" x14ac:dyDescent="0.2">
      <c r="A171" s="205">
        <v>0.98150462962962959</v>
      </c>
      <c r="B171" s="1" t="s">
        <v>993</v>
      </c>
      <c r="C171" s="1">
        <v>84</v>
      </c>
      <c r="D171" s="1" t="s">
        <v>29</v>
      </c>
      <c r="E171" s="1">
        <v>180</v>
      </c>
    </row>
    <row r="172" spans="1:6" x14ac:dyDescent="0.2">
      <c r="A172" s="205">
        <v>0.98155092592592597</v>
      </c>
      <c r="B172" s="1" t="s">
        <v>990</v>
      </c>
      <c r="C172" s="1">
        <v>84</v>
      </c>
      <c r="D172" s="1" t="s">
        <v>29</v>
      </c>
      <c r="E172" s="1">
        <v>-190</v>
      </c>
    </row>
    <row r="173" spans="1:6" x14ac:dyDescent="0.2">
      <c r="A173" s="205">
        <v>0.9815625</v>
      </c>
      <c r="B173" s="1" t="s">
        <v>991</v>
      </c>
      <c r="C173" s="1">
        <v>84</v>
      </c>
      <c r="D173" s="1" t="s">
        <v>29</v>
      </c>
      <c r="E173" s="1">
        <v>200</v>
      </c>
    </row>
    <row r="174" spans="1:6" x14ac:dyDescent="0.2">
      <c r="A174" s="205">
        <v>0.98188657407407398</v>
      </c>
      <c r="B174" s="1" t="s">
        <v>974</v>
      </c>
      <c r="C174" s="1">
        <v>43</v>
      </c>
      <c r="D174" s="1" t="s">
        <v>33</v>
      </c>
      <c r="E174" s="1">
        <v>120</v>
      </c>
    </row>
    <row r="175" spans="1:6" x14ac:dyDescent="0.2">
      <c r="A175" s="205">
        <v>0.98189814814814813</v>
      </c>
      <c r="B175" s="1" t="s">
        <v>980</v>
      </c>
      <c r="C175" s="1">
        <v>52</v>
      </c>
      <c r="D175" s="1" t="s">
        <v>33</v>
      </c>
      <c r="E175" s="1">
        <v>120</v>
      </c>
    </row>
    <row r="176" spans="1:6" x14ac:dyDescent="0.2">
      <c r="A176" s="205">
        <v>0.98192129629629632</v>
      </c>
      <c r="B176" s="1" t="s">
        <v>978</v>
      </c>
      <c r="C176" s="1">
        <v>47</v>
      </c>
      <c r="D176" s="1" t="s">
        <v>33</v>
      </c>
      <c r="E176" s="1">
        <v>130</v>
      </c>
    </row>
    <row r="177" spans="1:6" x14ac:dyDescent="0.2">
      <c r="A177" s="205">
        <v>0.98193287037037036</v>
      </c>
      <c r="B177" s="1" t="s">
        <v>987</v>
      </c>
      <c r="C177" s="1">
        <v>72</v>
      </c>
      <c r="D177" s="1" t="s">
        <v>33</v>
      </c>
      <c r="E177" s="1">
        <v>140</v>
      </c>
    </row>
    <row r="178" spans="1:6" x14ac:dyDescent="0.2">
      <c r="A178" s="205">
        <v>0.9819444444444444</v>
      </c>
      <c r="B178" s="1" t="s">
        <v>982</v>
      </c>
      <c r="C178" s="1">
        <v>57</v>
      </c>
      <c r="D178" s="1" t="s">
        <v>33</v>
      </c>
      <c r="E178" s="1">
        <v>150</v>
      </c>
    </row>
    <row r="179" spans="1:6" x14ac:dyDescent="0.2">
      <c r="A179" s="205">
        <v>0.98195601851851855</v>
      </c>
      <c r="B179" s="1" t="s">
        <v>994</v>
      </c>
      <c r="C179" s="1">
        <v>57</v>
      </c>
      <c r="D179" s="1" t="s">
        <v>33</v>
      </c>
      <c r="E179" s="1">
        <v>160</v>
      </c>
    </row>
    <row r="180" spans="1:6" x14ac:dyDescent="0.2">
      <c r="A180" s="205">
        <v>0.9819675925925927</v>
      </c>
      <c r="B180" s="1" t="s">
        <v>984</v>
      </c>
      <c r="C180" s="1">
        <v>63</v>
      </c>
      <c r="D180" s="1" t="s">
        <v>33</v>
      </c>
      <c r="E180" s="1">
        <v>170</v>
      </c>
    </row>
    <row r="181" spans="1:6" x14ac:dyDescent="0.2">
      <c r="A181" s="205">
        <v>0.98197916666666663</v>
      </c>
      <c r="B181" s="1" t="s">
        <v>989</v>
      </c>
      <c r="C181" s="1">
        <v>72</v>
      </c>
      <c r="D181" s="1" t="s">
        <v>33</v>
      </c>
      <c r="E181" s="1">
        <v>190</v>
      </c>
    </row>
    <row r="182" spans="1:6" x14ac:dyDescent="0.2">
      <c r="A182" s="205">
        <v>0.98199074074074078</v>
      </c>
      <c r="B182" s="1" t="s">
        <v>990</v>
      </c>
      <c r="C182" s="1">
        <v>84</v>
      </c>
      <c r="D182" s="1" t="s">
        <v>33</v>
      </c>
      <c r="E182" s="1">
        <v>215</v>
      </c>
    </row>
    <row r="183" spans="1:6" x14ac:dyDescent="0.2">
      <c r="A183" s="205">
        <v>0.98200231481481481</v>
      </c>
      <c r="B183" s="1" t="s">
        <v>993</v>
      </c>
      <c r="C183" s="1">
        <v>84</v>
      </c>
      <c r="D183" s="1" t="s">
        <v>33</v>
      </c>
      <c r="E183" s="1">
        <v>220</v>
      </c>
    </row>
    <row r="184" spans="1:6" x14ac:dyDescent="0.2">
      <c r="A184" s="205">
        <v>0.98208333333333331</v>
      </c>
      <c r="B184" s="1" t="s">
        <v>991</v>
      </c>
      <c r="C184" s="1">
        <v>84</v>
      </c>
      <c r="D184" s="1" t="s">
        <v>33</v>
      </c>
      <c r="E184" s="1">
        <v>-220</v>
      </c>
      <c r="F184" s="1">
        <v>625</v>
      </c>
    </row>
    <row r="185" spans="1:6" x14ac:dyDescent="0.2">
      <c r="A185" s="205">
        <v>0.98215277777777776</v>
      </c>
      <c r="B185" s="1" t="s">
        <v>974</v>
      </c>
      <c r="C185" s="1">
        <v>43</v>
      </c>
      <c r="D185" s="1" t="s">
        <v>33</v>
      </c>
      <c r="E185" s="1">
        <v>-120</v>
      </c>
      <c r="F185" s="1">
        <v>320</v>
      </c>
    </row>
    <row r="186" spans="1:6" x14ac:dyDescent="0.2">
      <c r="A186" s="205">
        <v>0.98223379629629637</v>
      </c>
      <c r="B186" s="1" t="s">
        <v>974</v>
      </c>
      <c r="C186" s="1">
        <v>43</v>
      </c>
      <c r="D186" s="1" t="s">
        <v>33</v>
      </c>
      <c r="E186" s="1">
        <v>120</v>
      </c>
    </row>
    <row r="187" spans="1:6" x14ac:dyDescent="0.2">
      <c r="A187" s="205">
        <v>0.98258101851851853</v>
      </c>
      <c r="B187" s="1" t="s">
        <v>974</v>
      </c>
      <c r="C187" s="1">
        <v>43</v>
      </c>
      <c r="D187" s="1" t="s">
        <v>37</v>
      </c>
      <c r="E187" s="1">
        <v>150</v>
      </c>
    </row>
    <row r="188" spans="1:6" x14ac:dyDescent="0.2">
      <c r="A188" s="205">
        <v>0.98260416666666661</v>
      </c>
      <c r="B188" s="1" t="s">
        <v>980</v>
      </c>
      <c r="C188" s="1">
        <v>52</v>
      </c>
      <c r="D188" s="1" t="s">
        <v>37</v>
      </c>
      <c r="E188" s="1">
        <v>-160</v>
      </c>
      <c r="F188" s="1">
        <v>360</v>
      </c>
    </row>
    <row r="189" spans="1:6" x14ac:dyDescent="0.2">
      <c r="A189" s="205">
        <v>0.98261574074074076</v>
      </c>
      <c r="B189" s="1" t="s">
        <v>982</v>
      </c>
      <c r="C189" s="1">
        <v>57</v>
      </c>
      <c r="D189" s="1" t="s">
        <v>37</v>
      </c>
      <c r="E189" s="1">
        <v>-160</v>
      </c>
      <c r="F189" s="1">
        <v>430</v>
      </c>
    </row>
    <row r="190" spans="1:6" x14ac:dyDescent="0.2">
      <c r="A190" s="205">
        <v>0.98262731481481491</v>
      </c>
      <c r="B190" s="1" t="s">
        <v>978</v>
      </c>
      <c r="C190" s="1">
        <v>47</v>
      </c>
      <c r="D190" s="1" t="s">
        <v>37</v>
      </c>
      <c r="E190" s="1">
        <v>-170</v>
      </c>
      <c r="F190" s="1">
        <v>370</v>
      </c>
    </row>
    <row r="191" spans="1:6" x14ac:dyDescent="0.2">
      <c r="A191" s="205">
        <v>0.98263888888888884</v>
      </c>
      <c r="B191" s="1" t="s">
        <v>994</v>
      </c>
      <c r="C191" s="1">
        <v>57</v>
      </c>
      <c r="D191" s="1" t="s">
        <v>37</v>
      </c>
      <c r="E191" s="1">
        <v>-170</v>
      </c>
      <c r="F191" s="1">
        <v>480</v>
      </c>
    </row>
    <row r="192" spans="1:6" x14ac:dyDescent="0.2">
      <c r="A192" s="205">
        <v>0.98266203703703703</v>
      </c>
      <c r="B192" s="1" t="s">
        <v>987</v>
      </c>
      <c r="C192" s="1">
        <v>72</v>
      </c>
      <c r="D192" s="1" t="s">
        <v>37</v>
      </c>
      <c r="E192" s="1">
        <v>-180</v>
      </c>
      <c r="F192" s="1">
        <v>420</v>
      </c>
    </row>
    <row r="193" spans="1:6" x14ac:dyDescent="0.2">
      <c r="A193" s="205">
        <v>0.98267361111111118</v>
      </c>
      <c r="B193" s="1" t="s">
        <v>984</v>
      </c>
      <c r="C193" s="1">
        <v>63</v>
      </c>
      <c r="D193" s="1" t="s">
        <v>37</v>
      </c>
      <c r="E193" s="1">
        <v>-180</v>
      </c>
      <c r="F193" s="1">
        <v>490</v>
      </c>
    </row>
    <row r="194" spans="1:6" x14ac:dyDescent="0.2">
      <c r="A194" s="205">
        <v>0.98268518518518511</v>
      </c>
      <c r="B194" s="1" t="s">
        <v>989</v>
      </c>
      <c r="C194" s="1">
        <v>72</v>
      </c>
      <c r="D194" s="1" t="s">
        <v>37</v>
      </c>
      <c r="E194" s="1">
        <v>-200</v>
      </c>
      <c r="F194" s="1">
        <v>550</v>
      </c>
    </row>
    <row r="195" spans="1:6" x14ac:dyDescent="0.2">
      <c r="A195" s="205">
        <v>0.98269675925925926</v>
      </c>
      <c r="B195" s="1" t="s">
        <v>990</v>
      </c>
      <c r="C195" s="1">
        <v>84</v>
      </c>
      <c r="D195" s="1" t="s">
        <v>37</v>
      </c>
      <c r="E195" s="1">
        <v>-220</v>
      </c>
      <c r="F195" s="1">
        <v>620</v>
      </c>
    </row>
    <row r="196" spans="1:6" x14ac:dyDescent="0.2">
      <c r="A196" s="205">
        <v>0.98270833333333341</v>
      </c>
      <c r="B196" s="1" t="s">
        <v>993</v>
      </c>
      <c r="C196" s="1">
        <v>84</v>
      </c>
      <c r="D196" s="1" t="s">
        <v>37</v>
      </c>
      <c r="E196" s="1">
        <v>-225</v>
      </c>
    </row>
    <row r="197" spans="1:6" x14ac:dyDescent="0.2">
      <c r="A197" s="205">
        <v>0.98271990740740733</v>
      </c>
      <c r="B197" s="1" t="s">
        <v>991</v>
      </c>
      <c r="C197" s="1">
        <v>84</v>
      </c>
      <c r="D197" s="1" t="s">
        <v>37</v>
      </c>
      <c r="E197" s="1">
        <v>-225</v>
      </c>
      <c r="F197" s="1">
        <v>625</v>
      </c>
    </row>
    <row r="198" spans="1:6" x14ac:dyDescent="0.2">
      <c r="A198" s="205">
        <v>0.98273148148148148</v>
      </c>
      <c r="B198" s="1" t="s">
        <v>991</v>
      </c>
      <c r="C198" s="1">
        <v>84</v>
      </c>
      <c r="D198" s="1" t="s">
        <v>37</v>
      </c>
      <c r="E198" s="1">
        <v>-225</v>
      </c>
      <c r="F198" s="1">
        <v>625</v>
      </c>
    </row>
    <row r="199" spans="1:6" x14ac:dyDescent="0.2">
      <c r="A199" s="205">
        <v>0.98288194444444443</v>
      </c>
      <c r="B199" s="1" t="s">
        <v>974</v>
      </c>
      <c r="C199" s="1">
        <v>43</v>
      </c>
      <c r="D199" s="1" t="s">
        <v>30</v>
      </c>
      <c r="E199" s="1">
        <v>100</v>
      </c>
      <c r="F199" s="1">
        <v>370</v>
      </c>
    </row>
    <row r="200" spans="1:6" x14ac:dyDescent="0.2">
      <c r="A200" s="205">
        <v>0.98290509259259251</v>
      </c>
      <c r="B200" s="1" t="s">
        <v>978</v>
      </c>
      <c r="C200" s="1">
        <v>47</v>
      </c>
      <c r="D200" s="1" t="s">
        <v>30</v>
      </c>
      <c r="E200" s="1">
        <v>110</v>
      </c>
      <c r="F200" s="1">
        <v>370</v>
      </c>
    </row>
    <row r="201" spans="1:6" x14ac:dyDescent="0.2">
      <c r="A201" s="205">
        <v>0.98291666666666666</v>
      </c>
      <c r="B201" s="1" t="s">
        <v>980</v>
      </c>
      <c r="C201" s="1">
        <v>52</v>
      </c>
      <c r="D201" s="1" t="s">
        <v>30</v>
      </c>
      <c r="E201" s="1">
        <v>120</v>
      </c>
      <c r="F201" s="1">
        <v>360</v>
      </c>
    </row>
    <row r="202" spans="1:6" x14ac:dyDescent="0.2">
      <c r="A202" s="205">
        <v>0.98292824074074081</v>
      </c>
      <c r="B202" s="1" t="s">
        <v>982</v>
      </c>
      <c r="C202" s="1">
        <v>57</v>
      </c>
      <c r="D202" s="1" t="s">
        <v>30</v>
      </c>
      <c r="E202" s="1">
        <v>130</v>
      </c>
      <c r="F202" s="1">
        <v>430</v>
      </c>
    </row>
    <row r="203" spans="1:6" x14ac:dyDescent="0.2">
      <c r="A203" s="205">
        <v>0.98295138888888889</v>
      </c>
      <c r="B203" s="1" t="s">
        <v>987</v>
      </c>
      <c r="C203" s="1">
        <v>72</v>
      </c>
      <c r="D203" s="1" t="s">
        <v>30</v>
      </c>
      <c r="E203" s="1">
        <v>140</v>
      </c>
      <c r="F203" s="1">
        <v>420</v>
      </c>
    </row>
    <row r="204" spans="1:6" x14ac:dyDescent="0.2">
      <c r="A204" s="205">
        <v>0.98296296296296293</v>
      </c>
      <c r="B204" s="1" t="s">
        <v>984</v>
      </c>
      <c r="C204" s="1">
        <v>63</v>
      </c>
      <c r="D204" s="1" t="s">
        <v>30</v>
      </c>
      <c r="E204" s="1">
        <v>150</v>
      </c>
      <c r="F204" s="1">
        <v>490</v>
      </c>
    </row>
    <row r="205" spans="1:6" x14ac:dyDescent="0.2">
      <c r="A205" s="205">
        <v>0.98297453703703708</v>
      </c>
      <c r="B205" s="1" t="s">
        <v>994</v>
      </c>
      <c r="C205" s="1">
        <v>57</v>
      </c>
      <c r="D205" s="1" t="s">
        <v>30</v>
      </c>
      <c r="E205" s="1">
        <v>160</v>
      </c>
      <c r="F205" s="1">
        <v>480</v>
      </c>
    </row>
    <row r="206" spans="1:6" x14ac:dyDescent="0.2">
      <c r="A206" s="205">
        <v>0.98299768518518515</v>
      </c>
      <c r="B206" s="1" t="s">
        <v>989</v>
      </c>
      <c r="C206" s="1">
        <v>72</v>
      </c>
      <c r="D206" s="1" t="s">
        <v>30</v>
      </c>
      <c r="E206" s="1">
        <v>170</v>
      </c>
      <c r="F206" s="1">
        <v>550</v>
      </c>
    </row>
    <row r="207" spans="1:6" x14ac:dyDescent="0.2">
      <c r="A207" s="205">
        <v>0.9830092592592593</v>
      </c>
      <c r="B207" s="1" t="s">
        <v>993</v>
      </c>
      <c r="C207" s="1">
        <v>84</v>
      </c>
      <c r="D207" s="1" t="s">
        <v>30</v>
      </c>
      <c r="E207" s="1">
        <v>180</v>
      </c>
    </row>
    <row r="208" spans="1:6" x14ac:dyDescent="0.2">
      <c r="A208" s="205">
        <v>0.98302083333333334</v>
      </c>
      <c r="B208" s="1" t="s">
        <v>990</v>
      </c>
      <c r="C208" s="1">
        <v>84</v>
      </c>
      <c r="D208" s="1" t="s">
        <v>30</v>
      </c>
      <c r="E208" s="1">
        <v>190</v>
      </c>
      <c r="F208" s="1">
        <v>620</v>
      </c>
    </row>
    <row r="209" spans="1:6" x14ac:dyDescent="0.2">
      <c r="A209" s="205">
        <v>0.98304398148148142</v>
      </c>
      <c r="B209" s="1" t="s">
        <v>991</v>
      </c>
      <c r="C209" s="1">
        <v>84</v>
      </c>
      <c r="D209" s="1" t="s">
        <v>30</v>
      </c>
      <c r="E209" s="1">
        <v>200</v>
      </c>
      <c r="F209" s="1">
        <v>625</v>
      </c>
    </row>
    <row r="210" spans="1:6" x14ac:dyDescent="0.2">
      <c r="A210" s="205">
        <v>0.98569444444444443</v>
      </c>
      <c r="B210" s="1" t="s">
        <v>974</v>
      </c>
      <c r="C210" s="1">
        <v>43</v>
      </c>
      <c r="D210" s="1" t="s">
        <v>34</v>
      </c>
      <c r="E210" s="1">
        <v>-110</v>
      </c>
      <c r="F210" s="1">
        <v>370</v>
      </c>
    </row>
    <row r="211" spans="1:6" x14ac:dyDescent="0.2">
      <c r="A211" s="205">
        <v>0.98571759259259262</v>
      </c>
      <c r="B211" s="1" t="s">
        <v>978</v>
      </c>
      <c r="C211" s="1">
        <v>47</v>
      </c>
      <c r="D211" s="1" t="s">
        <v>34</v>
      </c>
      <c r="E211" s="1">
        <v>120</v>
      </c>
      <c r="F211" s="1">
        <v>380</v>
      </c>
    </row>
    <row r="212" spans="1:6" x14ac:dyDescent="0.2">
      <c r="A212" s="205">
        <v>0.98572916666666666</v>
      </c>
      <c r="B212" s="1" t="s">
        <v>980</v>
      </c>
      <c r="C212" s="1">
        <v>52</v>
      </c>
      <c r="D212" s="1" t="s">
        <v>34</v>
      </c>
      <c r="E212" s="1">
        <v>130</v>
      </c>
      <c r="F212" s="1">
        <v>370</v>
      </c>
    </row>
    <row r="213" spans="1:6" x14ac:dyDescent="0.2">
      <c r="A213" s="205">
        <v>0.98575231481481485</v>
      </c>
      <c r="B213" s="1" t="s">
        <v>982</v>
      </c>
      <c r="C213" s="1">
        <v>57</v>
      </c>
      <c r="D213" s="1" t="s">
        <v>34</v>
      </c>
      <c r="E213" s="1">
        <v>-140</v>
      </c>
      <c r="F213" s="1">
        <v>430</v>
      </c>
    </row>
    <row r="214" spans="1:6" x14ac:dyDescent="0.2">
      <c r="A214" s="205">
        <v>0.98576388888888899</v>
      </c>
      <c r="B214" s="1" t="s">
        <v>987</v>
      </c>
      <c r="C214" s="1">
        <v>72</v>
      </c>
      <c r="D214" s="1" t="s">
        <v>34</v>
      </c>
      <c r="E214" s="1">
        <v>150</v>
      </c>
      <c r="F214" s="1">
        <v>430</v>
      </c>
    </row>
    <row r="215" spans="1:6" x14ac:dyDescent="0.2">
      <c r="A215" s="205">
        <v>0.98578703703703707</v>
      </c>
      <c r="B215" s="1" t="s">
        <v>984</v>
      </c>
      <c r="C215" s="1">
        <v>63</v>
      </c>
      <c r="D215" s="1" t="s">
        <v>34</v>
      </c>
      <c r="E215" s="1">
        <v>-160</v>
      </c>
      <c r="F215" s="1">
        <v>490</v>
      </c>
    </row>
    <row r="216" spans="1:6" x14ac:dyDescent="0.2">
      <c r="A216" s="205">
        <v>0.98579861111111111</v>
      </c>
      <c r="B216" s="1" t="s">
        <v>994</v>
      </c>
      <c r="C216" s="1">
        <v>57</v>
      </c>
      <c r="D216" s="1" t="s">
        <v>34</v>
      </c>
      <c r="E216" s="1">
        <v>170</v>
      </c>
      <c r="F216" s="1">
        <v>490</v>
      </c>
    </row>
    <row r="217" spans="1:6" x14ac:dyDescent="0.2">
      <c r="A217" s="205">
        <v>0.98582175925925919</v>
      </c>
      <c r="B217" s="1" t="s">
        <v>989</v>
      </c>
      <c r="C217" s="1">
        <v>72</v>
      </c>
      <c r="D217" s="1" t="s">
        <v>34</v>
      </c>
      <c r="E217" s="1">
        <v>-180</v>
      </c>
      <c r="F217" s="1">
        <v>550</v>
      </c>
    </row>
    <row r="218" spans="1:6" x14ac:dyDescent="0.2">
      <c r="A218" s="205">
        <v>0.98584490740740749</v>
      </c>
      <c r="B218" s="1" t="s">
        <v>993</v>
      </c>
      <c r="C218" s="1">
        <v>84</v>
      </c>
      <c r="D218" s="1" t="s">
        <v>34</v>
      </c>
      <c r="E218" s="1">
        <v>190</v>
      </c>
    </row>
    <row r="219" spans="1:6" x14ac:dyDescent="0.2">
      <c r="A219" s="205">
        <v>0.98586805555555557</v>
      </c>
      <c r="B219" s="1" t="s">
        <v>990</v>
      </c>
      <c r="C219" s="1">
        <v>84</v>
      </c>
      <c r="D219" s="1" t="s">
        <v>34</v>
      </c>
      <c r="E219" s="1">
        <v>-200</v>
      </c>
      <c r="F219" s="1">
        <v>620</v>
      </c>
    </row>
    <row r="220" spans="1:6" x14ac:dyDescent="0.2">
      <c r="A220" s="205">
        <v>0.98589120370370376</v>
      </c>
      <c r="B220" s="1" t="s">
        <v>991</v>
      </c>
      <c r="C220" s="1">
        <v>84</v>
      </c>
      <c r="D220" s="1" t="s">
        <v>34</v>
      </c>
      <c r="E220" s="1">
        <v>215</v>
      </c>
      <c r="F220" s="1">
        <v>640</v>
      </c>
    </row>
    <row r="221" spans="1:6" x14ac:dyDescent="0.2">
      <c r="A221" s="205">
        <v>0.98614583333333339</v>
      </c>
      <c r="B221" s="1" t="s">
        <v>974</v>
      </c>
      <c r="C221" s="1">
        <v>43</v>
      </c>
      <c r="D221" s="1" t="s">
        <v>38</v>
      </c>
      <c r="E221" s="1">
        <v>-120</v>
      </c>
      <c r="F221" s="1">
        <v>370</v>
      </c>
    </row>
    <row r="222" spans="1:6" x14ac:dyDescent="0.2">
      <c r="A222" s="205">
        <v>0.98615740740740743</v>
      </c>
      <c r="B222" s="1" t="s">
        <v>978</v>
      </c>
      <c r="C222" s="1">
        <v>47</v>
      </c>
      <c r="D222" s="1" t="s">
        <v>38</v>
      </c>
      <c r="E222" s="1">
        <v>-130</v>
      </c>
      <c r="F222" s="1">
        <v>380</v>
      </c>
    </row>
    <row r="223" spans="1:6" x14ac:dyDescent="0.2">
      <c r="A223" s="205">
        <v>0.98616898148148147</v>
      </c>
      <c r="B223" s="1" t="s">
        <v>980</v>
      </c>
      <c r="C223" s="1">
        <v>52</v>
      </c>
      <c r="D223" s="1" t="s">
        <v>38</v>
      </c>
      <c r="E223" s="1">
        <v>-140</v>
      </c>
      <c r="F223" s="1">
        <v>370</v>
      </c>
    </row>
    <row r="224" spans="1:6" x14ac:dyDescent="0.2">
      <c r="A224" s="205">
        <v>0.9861805555555555</v>
      </c>
      <c r="B224" s="1" t="s">
        <v>982</v>
      </c>
      <c r="C224" s="1">
        <v>57</v>
      </c>
      <c r="D224" s="1" t="s">
        <v>38</v>
      </c>
      <c r="E224" s="1">
        <v>-150</v>
      </c>
      <c r="F224" s="1">
        <v>430</v>
      </c>
    </row>
    <row r="225" spans="1:6" x14ac:dyDescent="0.2">
      <c r="A225" s="205">
        <v>0.9862037037037038</v>
      </c>
      <c r="B225" s="1" t="s">
        <v>987</v>
      </c>
      <c r="C225" s="1">
        <v>72</v>
      </c>
      <c r="D225" s="1" t="s">
        <v>38</v>
      </c>
      <c r="E225" s="1">
        <v>-160</v>
      </c>
      <c r="F225" s="1">
        <v>430</v>
      </c>
    </row>
    <row r="226" spans="1:6" x14ac:dyDescent="0.2">
      <c r="A226" s="205">
        <v>0.98621527777777773</v>
      </c>
      <c r="B226" s="1" t="s">
        <v>984</v>
      </c>
      <c r="C226" s="1">
        <v>63</v>
      </c>
      <c r="D226" s="1" t="s">
        <v>38</v>
      </c>
      <c r="E226" s="1">
        <v>-170</v>
      </c>
      <c r="F226" s="1">
        <v>490</v>
      </c>
    </row>
    <row r="227" spans="1:6" x14ac:dyDescent="0.2">
      <c r="A227" s="205">
        <v>0.98622685185185188</v>
      </c>
      <c r="B227" s="1" t="s">
        <v>994</v>
      </c>
      <c r="C227" s="1">
        <v>57</v>
      </c>
      <c r="D227" s="1" t="s">
        <v>38</v>
      </c>
      <c r="E227" s="1">
        <v>-180</v>
      </c>
      <c r="F227" s="1">
        <v>490</v>
      </c>
    </row>
    <row r="228" spans="1:6" x14ac:dyDescent="0.2">
      <c r="A228" s="205">
        <v>0.98625000000000007</v>
      </c>
      <c r="B228" s="1" t="s">
        <v>989</v>
      </c>
      <c r="C228" s="1">
        <v>72</v>
      </c>
      <c r="D228" s="1" t="s">
        <v>38</v>
      </c>
      <c r="E228" s="1">
        <v>-190</v>
      </c>
      <c r="F228" s="1">
        <v>550</v>
      </c>
    </row>
    <row r="229" spans="1:6" x14ac:dyDescent="0.2">
      <c r="A229" s="205">
        <v>0.986261574074074</v>
      </c>
      <c r="B229" s="1" t="s">
        <v>993</v>
      </c>
      <c r="C229" s="1">
        <v>84</v>
      </c>
      <c r="D229" s="1" t="s">
        <v>38</v>
      </c>
      <c r="E229" s="1">
        <v>-200</v>
      </c>
    </row>
    <row r="230" spans="1:6" x14ac:dyDescent="0.2">
      <c r="A230" s="205">
        <v>0.98627314814814815</v>
      </c>
      <c r="B230" s="1" t="s">
        <v>990</v>
      </c>
      <c r="C230" s="1">
        <v>84</v>
      </c>
      <c r="D230" s="1" t="s">
        <v>38</v>
      </c>
      <c r="E230" s="1">
        <v>-210</v>
      </c>
      <c r="F230" s="1">
        <v>620</v>
      </c>
    </row>
    <row r="231" spans="1:6" x14ac:dyDescent="0.2">
      <c r="A231" s="205">
        <v>0.9862847222222223</v>
      </c>
      <c r="B231" s="1" t="s">
        <v>991</v>
      </c>
      <c r="C231" s="1">
        <v>84</v>
      </c>
      <c r="D231" s="1" t="s">
        <v>38</v>
      </c>
      <c r="E231" s="1">
        <v>220</v>
      </c>
      <c r="F231" s="1">
        <v>645</v>
      </c>
    </row>
    <row r="232" spans="1:6" x14ac:dyDescent="0.2">
      <c r="A232" s="205">
        <v>0.76189814814814805</v>
      </c>
      <c r="B232" s="1" t="s">
        <v>974</v>
      </c>
      <c r="C232" s="1">
        <v>47</v>
      </c>
      <c r="D232" s="1" t="s">
        <v>27</v>
      </c>
      <c r="E232" s="1">
        <v>100</v>
      </c>
    </row>
    <row r="233" spans="1:6" x14ac:dyDescent="0.2">
      <c r="A233" s="205">
        <v>0.76195601851851846</v>
      </c>
      <c r="B233" s="1" t="s">
        <v>978</v>
      </c>
      <c r="C233" s="1">
        <v>47</v>
      </c>
      <c r="D233" s="1" t="s">
        <v>27</v>
      </c>
      <c r="E233" s="1">
        <v>-110</v>
      </c>
    </row>
    <row r="234" spans="1:6" x14ac:dyDescent="0.2">
      <c r="A234" s="205">
        <v>0.99818287037037035</v>
      </c>
      <c r="B234" s="1" t="s">
        <v>974</v>
      </c>
      <c r="C234" s="1">
        <v>47</v>
      </c>
      <c r="D234" s="1" t="s">
        <v>33</v>
      </c>
      <c r="E234" s="1">
        <v>0</v>
      </c>
      <c r="F234" s="1">
        <v>300</v>
      </c>
    </row>
    <row r="235" spans="1:6" x14ac:dyDescent="0.2">
      <c r="A235" s="205">
        <v>1.4583333333333334E-3</v>
      </c>
      <c r="B235" s="1" t="s">
        <v>978</v>
      </c>
      <c r="C235" s="1">
        <v>47</v>
      </c>
      <c r="D235" s="1" t="s">
        <v>33</v>
      </c>
      <c r="E235" s="1">
        <v>0</v>
      </c>
    </row>
    <row r="236" spans="1:6" x14ac:dyDescent="0.2">
      <c r="A236" s="205">
        <v>2.8819444444444444E-3</v>
      </c>
      <c r="B236" s="1" t="s">
        <v>980</v>
      </c>
      <c r="C236" s="1">
        <v>52</v>
      </c>
      <c r="D236" s="1" t="s">
        <v>33</v>
      </c>
      <c r="E236" s="1">
        <v>0</v>
      </c>
    </row>
    <row r="237" spans="1:6" x14ac:dyDescent="0.2">
      <c r="A237" s="205">
        <v>4.108796296296297E-3</v>
      </c>
      <c r="B237" s="1" t="s">
        <v>974</v>
      </c>
      <c r="C237" s="1">
        <v>47</v>
      </c>
      <c r="D237" s="1" t="s">
        <v>27</v>
      </c>
      <c r="E237" s="1">
        <v>100</v>
      </c>
    </row>
    <row r="238" spans="1:6" x14ac:dyDescent="0.2">
      <c r="A238" s="205">
        <v>4.1782407407407402E-3</v>
      </c>
      <c r="B238" s="1" t="s">
        <v>978</v>
      </c>
      <c r="C238" s="1">
        <v>47</v>
      </c>
      <c r="D238" s="1" t="s">
        <v>27</v>
      </c>
      <c r="E238" s="1">
        <v>110</v>
      </c>
    </row>
    <row r="239" spans="1:6" x14ac:dyDescent="0.2">
      <c r="A239" s="205">
        <v>4.2592592592592595E-3</v>
      </c>
      <c r="B239" s="1" t="s">
        <v>980</v>
      </c>
      <c r="C239" s="1">
        <v>52</v>
      </c>
      <c r="D239" s="1" t="s">
        <v>27</v>
      </c>
      <c r="E239" s="1">
        <v>-120</v>
      </c>
    </row>
    <row r="240" spans="1:6" x14ac:dyDescent="0.2">
      <c r="A240" s="205">
        <v>0.56525462962962958</v>
      </c>
      <c r="B240" s="1" t="s">
        <v>994</v>
      </c>
      <c r="C240" s="1">
        <v>57</v>
      </c>
      <c r="D240" s="1" t="s">
        <v>31</v>
      </c>
      <c r="E240" s="1">
        <v>0</v>
      </c>
    </row>
    <row r="241" spans="1:6" x14ac:dyDescent="0.2">
      <c r="A241" s="205">
        <v>0.5666782407407408</v>
      </c>
      <c r="B241" s="1" t="s">
        <v>989</v>
      </c>
      <c r="C241" s="1">
        <v>72</v>
      </c>
      <c r="D241" s="1" t="s">
        <v>31</v>
      </c>
      <c r="E241" s="1">
        <v>0</v>
      </c>
    </row>
    <row r="242" spans="1:6" x14ac:dyDescent="0.2">
      <c r="A242" s="205">
        <v>0.57116898148148143</v>
      </c>
      <c r="B242" s="1" t="s">
        <v>993</v>
      </c>
      <c r="C242" s="1">
        <v>84</v>
      </c>
      <c r="D242" s="1" t="s">
        <v>31</v>
      </c>
      <c r="E242" s="1">
        <v>0</v>
      </c>
    </row>
    <row r="243" spans="1:6" x14ac:dyDescent="0.2">
      <c r="A243" s="205">
        <v>0.57135416666666672</v>
      </c>
      <c r="B243" s="1" t="s">
        <v>990</v>
      </c>
      <c r="C243" s="1">
        <v>84</v>
      </c>
      <c r="D243" s="1" t="s">
        <v>31</v>
      </c>
      <c r="E243" s="1">
        <v>0</v>
      </c>
      <c r="F243" s="1">
        <v>570</v>
      </c>
    </row>
    <row r="244" spans="1:6" x14ac:dyDescent="0.2">
      <c r="A244" s="205">
        <v>0.57215277777777784</v>
      </c>
      <c r="B244" s="1" t="s">
        <v>991</v>
      </c>
      <c r="C244" s="1">
        <v>84</v>
      </c>
      <c r="D244" s="1" t="s">
        <v>31</v>
      </c>
      <c r="E244" s="1">
        <v>0</v>
      </c>
    </row>
    <row r="245" spans="1:6" x14ac:dyDescent="0.2">
      <c r="A245" s="205">
        <v>0.58034722222222224</v>
      </c>
      <c r="B245" s="1" t="s">
        <v>991</v>
      </c>
      <c r="C245" s="1">
        <v>84</v>
      </c>
      <c r="D245" s="1" t="s">
        <v>31</v>
      </c>
      <c r="E245" s="1">
        <v>0</v>
      </c>
    </row>
    <row r="246" spans="1:6" x14ac:dyDescent="0.2">
      <c r="A246" s="205">
        <v>0.58364583333333331</v>
      </c>
      <c r="B246" s="1" t="s">
        <v>974</v>
      </c>
      <c r="C246" s="1">
        <v>47</v>
      </c>
      <c r="D246" s="1" t="s">
        <v>37</v>
      </c>
      <c r="E246" s="1">
        <v>0</v>
      </c>
      <c r="F246" s="1">
        <v>300</v>
      </c>
    </row>
    <row r="247" spans="1:6" x14ac:dyDescent="0.2">
      <c r="A247" s="205">
        <v>0.58429398148148148</v>
      </c>
      <c r="B247" s="1" t="s">
        <v>994</v>
      </c>
      <c r="C247" s="1">
        <v>57</v>
      </c>
      <c r="D247" s="1" t="s">
        <v>37</v>
      </c>
      <c r="E247" s="1">
        <v>0</v>
      </c>
      <c r="F247" s="1">
        <v>480</v>
      </c>
    </row>
    <row r="248" spans="1:6" x14ac:dyDescent="0.2">
      <c r="A248" s="205">
        <v>0.58469907407407407</v>
      </c>
      <c r="B248" s="1" t="s">
        <v>989</v>
      </c>
      <c r="C248" s="1">
        <v>72</v>
      </c>
      <c r="D248" s="1" t="s">
        <v>37</v>
      </c>
      <c r="E248" s="1">
        <v>0</v>
      </c>
      <c r="F248" s="1">
        <v>510</v>
      </c>
    </row>
    <row r="249" spans="1:6" x14ac:dyDescent="0.2">
      <c r="A249" s="205">
        <v>0.58510416666666665</v>
      </c>
      <c r="B249" s="1" t="s">
        <v>990</v>
      </c>
      <c r="C249" s="1">
        <v>84</v>
      </c>
      <c r="D249" s="1" t="s">
        <v>37</v>
      </c>
      <c r="E249" s="1">
        <v>0</v>
      </c>
      <c r="F249" s="1">
        <v>570</v>
      </c>
    </row>
    <row r="250" spans="1:6" x14ac:dyDescent="0.2">
      <c r="A250" s="205">
        <v>0.58564814814814814</v>
      </c>
      <c r="B250" s="1" t="s">
        <v>991</v>
      </c>
      <c r="C250" s="1">
        <v>84</v>
      </c>
      <c r="D250" s="1" t="s">
        <v>37</v>
      </c>
      <c r="E250" s="1">
        <v>0</v>
      </c>
    </row>
    <row r="251" spans="1:6" x14ac:dyDescent="0.2">
      <c r="A251" s="205">
        <v>0.58606481481481476</v>
      </c>
      <c r="B251" s="1" t="s">
        <v>991</v>
      </c>
      <c r="C251" s="1">
        <v>84</v>
      </c>
      <c r="D251" s="1" t="s">
        <v>37</v>
      </c>
      <c r="E251" s="1">
        <v>0</v>
      </c>
    </row>
    <row r="252" spans="1:6" x14ac:dyDescent="0.2">
      <c r="A252" s="205">
        <v>0.58714120370370371</v>
      </c>
      <c r="B252" s="1" t="s">
        <v>982</v>
      </c>
      <c r="C252" s="1">
        <v>57</v>
      </c>
      <c r="D252" s="1" t="s">
        <v>37</v>
      </c>
      <c r="E252" s="1">
        <v>0</v>
      </c>
      <c r="F252" s="1">
        <v>390</v>
      </c>
    </row>
    <row r="253" spans="1:6" x14ac:dyDescent="0.2">
      <c r="A253" s="205">
        <v>0.58796296296296291</v>
      </c>
      <c r="B253" s="1" t="s">
        <v>987</v>
      </c>
      <c r="C253" s="1">
        <v>72</v>
      </c>
      <c r="D253" s="1" t="s">
        <v>37</v>
      </c>
      <c r="E253" s="1">
        <v>0</v>
      </c>
      <c r="F253" s="1">
        <v>420</v>
      </c>
    </row>
    <row r="254" spans="1:6" x14ac:dyDescent="0.2">
      <c r="A254" s="205">
        <v>0.58825231481481477</v>
      </c>
      <c r="B254" s="1" t="s">
        <v>984</v>
      </c>
      <c r="C254" s="1">
        <v>63</v>
      </c>
      <c r="D254" s="1" t="s">
        <v>37</v>
      </c>
      <c r="E254" s="1">
        <v>0</v>
      </c>
      <c r="F254" s="1">
        <v>450</v>
      </c>
    </row>
    <row r="255" spans="1:6" x14ac:dyDescent="0.2">
      <c r="A255" s="205">
        <v>0.60799768518518515</v>
      </c>
      <c r="B255" s="1" t="s">
        <v>980</v>
      </c>
      <c r="C255" s="1">
        <v>52</v>
      </c>
      <c r="D255" s="1" t="s">
        <v>29</v>
      </c>
      <c r="E255" s="1">
        <v>120</v>
      </c>
    </row>
    <row r="256" spans="1:6" x14ac:dyDescent="0.2">
      <c r="A256" s="205">
        <v>0.60834490740740743</v>
      </c>
      <c r="B256" s="1" t="s">
        <v>982</v>
      </c>
      <c r="C256" s="1">
        <v>57</v>
      </c>
      <c r="D256" s="1" t="s">
        <v>29</v>
      </c>
      <c r="E256" s="1">
        <v>130</v>
      </c>
    </row>
    <row r="257" spans="1:5" x14ac:dyDescent="0.2">
      <c r="A257" s="205">
        <v>0.6088541666666667</v>
      </c>
      <c r="B257" s="1" t="s">
        <v>987</v>
      </c>
      <c r="C257" s="1">
        <v>72</v>
      </c>
      <c r="D257" s="1" t="s">
        <v>29</v>
      </c>
      <c r="E257" s="1">
        <v>140</v>
      </c>
    </row>
    <row r="258" spans="1:5" x14ac:dyDescent="0.2">
      <c r="A258" s="205">
        <v>0.60903935185185187</v>
      </c>
      <c r="B258" s="1" t="s">
        <v>984</v>
      </c>
      <c r="C258" s="1">
        <v>63</v>
      </c>
      <c r="D258" s="1" t="s">
        <v>29</v>
      </c>
      <c r="E258" s="1">
        <v>-150</v>
      </c>
    </row>
    <row r="259" spans="1:5" x14ac:dyDescent="0.2">
      <c r="A259" s="205">
        <v>0.72081018518518514</v>
      </c>
      <c r="B259" s="1" t="s">
        <v>993</v>
      </c>
      <c r="C259" s="1">
        <v>84</v>
      </c>
      <c r="D259" s="1" t="s">
        <v>29</v>
      </c>
      <c r="E259" s="1">
        <v>180</v>
      </c>
    </row>
    <row r="260" spans="1:5" x14ac:dyDescent="0.2">
      <c r="A260" s="205">
        <v>0.90881944444444451</v>
      </c>
      <c r="B260" s="1" t="s">
        <v>991</v>
      </c>
      <c r="C260" s="1">
        <v>84</v>
      </c>
      <c r="D260" s="1" t="s">
        <v>30</v>
      </c>
      <c r="E260" s="1">
        <v>200</v>
      </c>
    </row>
    <row r="261" spans="1:5" x14ac:dyDescent="0.2">
      <c r="A261" s="205">
        <v>0.90900462962962969</v>
      </c>
      <c r="B261" s="1" t="s">
        <v>991</v>
      </c>
      <c r="C261" s="1">
        <v>84</v>
      </c>
      <c r="D261" s="1" t="s">
        <v>30</v>
      </c>
      <c r="E261" s="1">
        <v>-200</v>
      </c>
    </row>
    <row r="262" spans="1:5" x14ac:dyDescent="0.2">
      <c r="A262" s="205">
        <v>0.42037037037037034</v>
      </c>
      <c r="B262" s="1" t="s">
        <v>1000</v>
      </c>
      <c r="C262" s="1" t="s">
        <v>53</v>
      </c>
      <c r="D262" s="1" t="s">
        <v>27</v>
      </c>
      <c r="E262" s="1">
        <v>-220</v>
      </c>
    </row>
    <row r="263" spans="1:5" x14ac:dyDescent="0.2">
      <c r="A263" s="205">
        <v>0.42040509259259262</v>
      </c>
      <c r="B263" s="1" t="s">
        <v>998</v>
      </c>
      <c r="C263" s="1">
        <v>52</v>
      </c>
      <c r="D263" s="1" t="s">
        <v>27</v>
      </c>
      <c r="E263" s="1">
        <v>230</v>
      </c>
    </row>
    <row r="264" spans="1:5" x14ac:dyDescent="0.2">
      <c r="A264" s="205">
        <v>0.42046296296296298</v>
      </c>
      <c r="B264" s="1" t="s">
        <v>1002</v>
      </c>
      <c r="C264" s="1" t="s">
        <v>53</v>
      </c>
      <c r="D264" s="1" t="s">
        <v>27</v>
      </c>
      <c r="E264" s="1">
        <v>240</v>
      </c>
    </row>
    <row r="265" spans="1:5" x14ac:dyDescent="0.2">
      <c r="A265" s="205">
        <v>0.42143518518518519</v>
      </c>
      <c r="B265" s="1" t="s">
        <v>997</v>
      </c>
      <c r="C265" s="1" t="s">
        <v>53</v>
      </c>
      <c r="D265" s="1" t="s">
        <v>27</v>
      </c>
      <c r="E265" s="1">
        <v>-250</v>
      </c>
    </row>
    <row r="266" spans="1:5" x14ac:dyDescent="0.2">
      <c r="A266" s="205">
        <v>0.42151620370370368</v>
      </c>
      <c r="B266" s="1" t="s">
        <v>1005</v>
      </c>
      <c r="C266" s="1" t="s">
        <v>53</v>
      </c>
      <c r="D266" s="1" t="s">
        <v>27</v>
      </c>
      <c r="E266" s="1">
        <v>270</v>
      </c>
    </row>
    <row r="267" spans="1:5" x14ac:dyDescent="0.2">
      <c r="A267" s="205">
        <v>0.42350694444444442</v>
      </c>
      <c r="B267" s="1" t="s">
        <v>999</v>
      </c>
      <c r="C267" s="1" t="s">
        <v>53</v>
      </c>
      <c r="D267" s="1" t="s">
        <v>31</v>
      </c>
      <c r="E267" s="1">
        <v>0</v>
      </c>
    </row>
    <row r="268" spans="1:5" x14ac:dyDescent="0.2">
      <c r="A268" s="205">
        <v>0.42354166666666665</v>
      </c>
      <c r="B268" s="1" t="s">
        <v>1000</v>
      </c>
      <c r="C268" s="1" t="s">
        <v>53</v>
      </c>
      <c r="D268" s="1" t="s">
        <v>31</v>
      </c>
      <c r="E268" s="1">
        <v>0</v>
      </c>
    </row>
    <row r="269" spans="1:5" x14ac:dyDescent="0.2">
      <c r="A269" s="205">
        <v>0.4236111111111111</v>
      </c>
      <c r="B269" s="1" t="s">
        <v>998</v>
      </c>
      <c r="C269" s="1">
        <v>52</v>
      </c>
      <c r="D269" s="1" t="s">
        <v>31</v>
      </c>
      <c r="E269" s="1">
        <v>0</v>
      </c>
    </row>
    <row r="270" spans="1:5" x14ac:dyDescent="0.2">
      <c r="A270" s="205">
        <v>0.42371527777777779</v>
      </c>
      <c r="B270" s="1" t="s">
        <v>997</v>
      </c>
      <c r="C270" s="1" t="s">
        <v>53</v>
      </c>
      <c r="D270" s="1" t="s">
        <v>31</v>
      </c>
      <c r="E270" s="1">
        <v>0</v>
      </c>
    </row>
    <row r="271" spans="1:5" x14ac:dyDescent="0.2">
      <c r="A271" s="205">
        <v>0.42394675925925923</v>
      </c>
      <c r="B271" s="1" t="s">
        <v>1003</v>
      </c>
      <c r="C271" s="1" t="s">
        <v>53</v>
      </c>
      <c r="D271" s="1" t="s">
        <v>31</v>
      </c>
      <c r="E271" s="1">
        <v>0</v>
      </c>
    </row>
    <row r="272" spans="1:5" x14ac:dyDescent="0.2">
      <c r="A272" s="205">
        <v>0.42628472222222219</v>
      </c>
      <c r="B272" s="1" t="s">
        <v>999</v>
      </c>
      <c r="C272" s="1" t="s">
        <v>53</v>
      </c>
      <c r="D272" s="1" t="s">
        <v>35</v>
      </c>
      <c r="E272" s="1">
        <v>0</v>
      </c>
    </row>
    <row r="273" spans="1:6" x14ac:dyDescent="0.2">
      <c r="A273" s="205">
        <v>0.42633101851851851</v>
      </c>
      <c r="B273" s="1" t="s">
        <v>1000</v>
      </c>
      <c r="C273" s="1" t="s">
        <v>53</v>
      </c>
      <c r="D273" s="1" t="s">
        <v>35</v>
      </c>
      <c r="E273" s="1">
        <v>0</v>
      </c>
    </row>
    <row r="274" spans="1:6" x14ac:dyDescent="0.2">
      <c r="A274" s="205">
        <v>0.42640046296296297</v>
      </c>
      <c r="B274" s="1" t="s">
        <v>1002</v>
      </c>
      <c r="C274" s="1" t="s">
        <v>53</v>
      </c>
      <c r="D274" s="1" t="s">
        <v>35</v>
      </c>
      <c r="E274" s="1">
        <v>0</v>
      </c>
    </row>
    <row r="275" spans="1:6" x14ac:dyDescent="0.2">
      <c r="A275" s="205">
        <v>0.43694444444444441</v>
      </c>
      <c r="B275" s="1" t="s">
        <v>997</v>
      </c>
      <c r="C275" s="1" t="s">
        <v>53</v>
      </c>
      <c r="D275" s="1" t="s">
        <v>35</v>
      </c>
      <c r="E275" s="1">
        <v>0</v>
      </c>
    </row>
    <row r="276" spans="1:6" x14ac:dyDescent="0.2">
      <c r="A276" s="205">
        <v>0.4369675925925926</v>
      </c>
      <c r="B276" s="1" t="s">
        <v>1003</v>
      </c>
      <c r="C276" s="1" t="s">
        <v>53</v>
      </c>
      <c r="D276" s="1" t="s">
        <v>35</v>
      </c>
      <c r="E276" s="1">
        <v>0</v>
      </c>
      <c r="F276" s="1">
        <v>780</v>
      </c>
    </row>
    <row r="277" spans="1:6" x14ac:dyDescent="0.2">
      <c r="A277" s="205">
        <v>0.43707175925925923</v>
      </c>
      <c r="B277" s="1" t="s">
        <v>1000</v>
      </c>
      <c r="C277" s="1" t="s">
        <v>53</v>
      </c>
      <c r="D277" s="1" t="s">
        <v>27</v>
      </c>
      <c r="E277" s="1">
        <v>220</v>
      </c>
    </row>
    <row r="278" spans="1:6" x14ac:dyDescent="0.2">
      <c r="A278" s="205">
        <v>0.43709490740740736</v>
      </c>
      <c r="B278" s="1" t="s">
        <v>998</v>
      </c>
      <c r="C278" s="1">
        <v>52</v>
      </c>
      <c r="D278" s="1" t="s">
        <v>27</v>
      </c>
      <c r="E278" s="1">
        <v>-230</v>
      </c>
    </row>
    <row r="279" spans="1:6" x14ac:dyDescent="0.2">
      <c r="A279" s="205">
        <v>0.43712962962962965</v>
      </c>
      <c r="B279" s="1" t="s">
        <v>1002</v>
      </c>
      <c r="C279" s="1" t="s">
        <v>53</v>
      </c>
      <c r="D279" s="1" t="s">
        <v>27</v>
      </c>
      <c r="E279" s="1">
        <v>240</v>
      </c>
    </row>
    <row r="280" spans="1:6" x14ac:dyDescent="0.2">
      <c r="A280" s="205">
        <v>0.43715277777777778</v>
      </c>
      <c r="B280" s="1" t="s">
        <v>997</v>
      </c>
      <c r="C280" s="1" t="s">
        <v>53</v>
      </c>
      <c r="D280" s="1" t="s">
        <v>27</v>
      </c>
      <c r="E280" s="1">
        <v>-250</v>
      </c>
    </row>
    <row r="281" spans="1:6" x14ac:dyDescent="0.2">
      <c r="A281" s="205">
        <v>0.43717592592592597</v>
      </c>
      <c r="B281" s="1" t="s">
        <v>1003</v>
      </c>
      <c r="C281" s="1" t="s">
        <v>53</v>
      </c>
      <c r="D281" s="1" t="s">
        <v>27</v>
      </c>
      <c r="E281" s="1">
        <v>260</v>
      </c>
    </row>
    <row r="282" spans="1:6" x14ac:dyDescent="0.2">
      <c r="A282" s="205">
        <v>0.4372800925925926</v>
      </c>
      <c r="B282" s="1" t="s">
        <v>999</v>
      </c>
      <c r="C282" s="1" t="s">
        <v>53</v>
      </c>
      <c r="D282" s="1" t="s">
        <v>31</v>
      </c>
      <c r="E282" s="1">
        <v>0</v>
      </c>
    </row>
    <row r="283" spans="1:6" x14ac:dyDescent="0.2">
      <c r="A283" s="205">
        <v>0.44386574074074076</v>
      </c>
      <c r="B283" s="1" t="s">
        <v>1000</v>
      </c>
      <c r="C283" s="1" t="s">
        <v>53</v>
      </c>
      <c r="D283" s="1" t="s">
        <v>31</v>
      </c>
      <c r="E283" s="1">
        <v>0</v>
      </c>
    </row>
    <row r="284" spans="1:6" x14ac:dyDescent="0.2">
      <c r="A284" s="205">
        <v>0.44392361111111112</v>
      </c>
      <c r="B284" s="1" t="s">
        <v>998</v>
      </c>
      <c r="C284" s="1">
        <v>52</v>
      </c>
      <c r="D284" s="1" t="s">
        <v>31</v>
      </c>
      <c r="E284" s="1">
        <v>0</v>
      </c>
    </row>
    <row r="285" spans="1:6" x14ac:dyDescent="0.2">
      <c r="A285" s="205">
        <v>0.47565972222222225</v>
      </c>
      <c r="B285" s="1" t="s">
        <v>1002</v>
      </c>
      <c r="C285" s="1" t="s">
        <v>53</v>
      </c>
      <c r="D285" s="1" t="s">
        <v>31</v>
      </c>
      <c r="E285" s="1">
        <v>0</v>
      </c>
    </row>
    <row r="286" spans="1:6" x14ac:dyDescent="0.2">
      <c r="A286" s="205">
        <v>0.47570601851851851</v>
      </c>
      <c r="B286" s="1" t="s">
        <v>997</v>
      </c>
      <c r="C286" s="1" t="s">
        <v>53</v>
      </c>
      <c r="D286" s="1" t="s">
        <v>31</v>
      </c>
      <c r="E286" s="1">
        <v>0</v>
      </c>
    </row>
    <row r="287" spans="1:6" x14ac:dyDescent="0.2">
      <c r="A287" s="205">
        <v>0.4757291666666667</v>
      </c>
      <c r="B287" s="1" t="s">
        <v>1003</v>
      </c>
      <c r="C287" s="1" t="s">
        <v>53</v>
      </c>
      <c r="D287" s="1" t="s">
        <v>31</v>
      </c>
      <c r="E287" s="1">
        <v>0</v>
      </c>
    </row>
    <row r="288" spans="1:6" x14ac:dyDescent="0.2">
      <c r="A288" s="205">
        <v>0.47593749999999996</v>
      </c>
      <c r="B288" s="1" t="s">
        <v>1005</v>
      </c>
      <c r="C288" s="1" t="s">
        <v>53</v>
      </c>
      <c r="D288" s="1" t="s">
        <v>31</v>
      </c>
      <c r="E288" s="1">
        <v>0</v>
      </c>
    </row>
    <row r="289" spans="1:6" x14ac:dyDescent="0.2">
      <c r="A289" s="205">
        <v>0.47753472222222221</v>
      </c>
      <c r="B289" s="1" t="s">
        <v>999</v>
      </c>
      <c r="C289" s="1" t="s">
        <v>53</v>
      </c>
      <c r="D289" s="1" t="s">
        <v>35</v>
      </c>
      <c r="E289" s="1">
        <v>0</v>
      </c>
    </row>
    <row r="290" spans="1:6" x14ac:dyDescent="0.2">
      <c r="A290" s="205">
        <v>0.4775578703703704</v>
      </c>
      <c r="B290" s="1" t="s">
        <v>1000</v>
      </c>
      <c r="C290" s="1" t="s">
        <v>53</v>
      </c>
      <c r="D290" s="1" t="s">
        <v>35</v>
      </c>
      <c r="E290" s="1">
        <v>0</v>
      </c>
    </row>
    <row r="291" spans="1:6" x14ac:dyDescent="0.2">
      <c r="A291" s="205">
        <v>0.47758101851851853</v>
      </c>
      <c r="B291" s="1" t="s">
        <v>998</v>
      </c>
      <c r="C291" s="1">
        <v>52</v>
      </c>
      <c r="D291" s="1" t="s">
        <v>35</v>
      </c>
      <c r="E291" s="1">
        <v>0</v>
      </c>
    </row>
    <row r="292" spans="1:6" x14ac:dyDescent="0.2">
      <c r="A292" s="205">
        <v>0.47760416666666666</v>
      </c>
      <c r="B292" s="1" t="s">
        <v>1002</v>
      </c>
      <c r="C292" s="1" t="s">
        <v>53</v>
      </c>
      <c r="D292" s="1" t="s">
        <v>35</v>
      </c>
      <c r="E292" s="1">
        <v>0</v>
      </c>
    </row>
    <row r="293" spans="1:6" x14ac:dyDescent="0.2">
      <c r="A293" s="205">
        <v>0.47762731481481485</v>
      </c>
      <c r="B293" s="1" t="s">
        <v>997</v>
      </c>
      <c r="C293" s="1" t="s">
        <v>53</v>
      </c>
      <c r="D293" s="1" t="s">
        <v>35</v>
      </c>
      <c r="E293" s="1">
        <v>0</v>
      </c>
    </row>
    <row r="294" spans="1:6" x14ac:dyDescent="0.2">
      <c r="A294" s="205">
        <v>0.47793981481481485</v>
      </c>
      <c r="B294" s="1" t="s">
        <v>1003</v>
      </c>
      <c r="C294" s="1" t="s">
        <v>53</v>
      </c>
      <c r="D294" s="1" t="s">
        <v>35</v>
      </c>
      <c r="E294" s="1">
        <v>0</v>
      </c>
    </row>
    <row r="295" spans="1:6" x14ac:dyDescent="0.2">
      <c r="A295" s="205">
        <v>0.47798611111111117</v>
      </c>
      <c r="B295" s="1" t="s">
        <v>1005</v>
      </c>
      <c r="C295" s="1" t="s">
        <v>53</v>
      </c>
      <c r="D295" s="1" t="s">
        <v>35</v>
      </c>
      <c r="E295" s="1">
        <v>0</v>
      </c>
    </row>
    <row r="296" spans="1:6" x14ac:dyDescent="0.2">
      <c r="A296" s="205">
        <v>0.47805555555555551</v>
      </c>
      <c r="B296" s="1" t="s">
        <v>999</v>
      </c>
      <c r="C296" s="1" t="s">
        <v>53</v>
      </c>
      <c r="D296" s="1" t="s">
        <v>29</v>
      </c>
      <c r="E296" s="1">
        <v>210</v>
      </c>
    </row>
    <row r="297" spans="1:6" x14ac:dyDescent="0.2">
      <c r="A297" s="205">
        <v>0.4780787037037037</v>
      </c>
      <c r="B297" s="1" t="s">
        <v>1000</v>
      </c>
      <c r="C297" s="1" t="s">
        <v>53</v>
      </c>
      <c r="D297" s="1" t="s">
        <v>29</v>
      </c>
      <c r="E297" s="1">
        <v>220</v>
      </c>
    </row>
    <row r="298" spans="1:6" x14ac:dyDescent="0.2">
      <c r="A298" s="205">
        <v>0.47809027777777779</v>
      </c>
      <c r="B298" s="1" t="s">
        <v>998</v>
      </c>
      <c r="C298" s="1">
        <v>52</v>
      </c>
      <c r="D298" s="1" t="s">
        <v>29</v>
      </c>
      <c r="E298" s="1">
        <v>230</v>
      </c>
    </row>
    <row r="299" spans="1:6" x14ac:dyDescent="0.2">
      <c r="A299" s="205">
        <v>0.47811342592592593</v>
      </c>
      <c r="B299" s="1" t="s">
        <v>1002</v>
      </c>
      <c r="C299" s="1" t="s">
        <v>53</v>
      </c>
      <c r="D299" s="1" t="s">
        <v>29</v>
      </c>
      <c r="E299" s="1">
        <v>240</v>
      </c>
    </row>
    <row r="300" spans="1:6" x14ac:dyDescent="0.2">
      <c r="A300" s="205">
        <v>0.47814814814814816</v>
      </c>
      <c r="B300" s="1" t="s">
        <v>997</v>
      </c>
      <c r="C300" s="1" t="s">
        <v>53</v>
      </c>
      <c r="D300" s="1" t="s">
        <v>29</v>
      </c>
      <c r="E300" s="1">
        <v>250</v>
      </c>
    </row>
    <row r="301" spans="1:6" x14ac:dyDescent="0.2">
      <c r="A301" s="205">
        <v>0.47815972222222225</v>
      </c>
      <c r="B301" s="1" t="s">
        <v>1003</v>
      </c>
      <c r="C301" s="1" t="s">
        <v>53</v>
      </c>
      <c r="D301" s="1" t="s">
        <v>29</v>
      </c>
      <c r="E301" s="1">
        <v>260</v>
      </c>
    </row>
    <row r="302" spans="1:6" x14ac:dyDescent="0.2">
      <c r="A302" s="205">
        <v>0.47818287037037038</v>
      </c>
      <c r="B302" s="1" t="s">
        <v>1005</v>
      </c>
      <c r="C302" s="1" t="s">
        <v>53</v>
      </c>
      <c r="D302" s="1" t="s">
        <v>29</v>
      </c>
      <c r="E302" s="1">
        <v>270</v>
      </c>
    </row>
    <row r="303" spans="1:6" x14ac:dyDescent="0.2">
      <c r="A303" s="205">
        <v>0.47851851851851851</v>
      </c>
      <c r="B303" s="1" t="s">
        <v>999</v>
      </c>
      <c r="C303" s="1" t="s">
        <v>53</v>
      </c>
      <c r="D303" s="1" t="s">
        <v>33</v>
      </c>
      <c r="E303" s="1">
        <v>0</v>
      </c>
      <c r="F303" s="1">
        <v>630</v>
      </c>
    </row>
    <row r="304" spans="1:6" x14ac:dyDescent="0.2">
      <c r="A304" s="205">
        <v>0.4785300925925926</v>
      </c>
      <c r="B304" s="1" t="s">
        <v>1000</v>
      </c>
      <c r="C304" s="1" t="s">
        <v>53</v>
      </c>
      <c r="D304" s="1" t="s">
        <v>33</v>
      </c>
      <c r="E304" s="1">
        <v>0</v>
      </c>
      <c r="F304" s="1">
        <v>660</v>
      </c>
    </row>
    <row r="305" spans="1:6" x14ac:dyDescent="0.2">
      <c r="A305" s="205">
        <v>0.47855324074074074</v>
      </c>
      <c r="B305" s="1" t="s">
        <v>998</v>
      </c>
      <c r="C305" s="1">
        <v>52</v>
      </c>
      <c r="D305" s="1" t="s">
        <v>33</v>
      </c>
      <c r="E305" s="1">
        <v>0</v>
      </c>
    </row>
    <row r="306" spans="1:6" x14ac:dyDescent="0.2">
      <c r="A306" s="205">
        <v>0.47856481481481478</v>
      </c>
      <c r="B306" s="1" t="s">
        <v>1002</v>
      </c>
      <c r="C306" s="1" t="s">
        <v>53</v>
      </c>
      <c r="D306" s="1" t="s">
        <v>33</v>
      </c>
      <c r="E306" s="1">
        <v>0</v>
      </c>
      <c r="F306" s="1">
        <v>720</v>
      </c>
    </row>
    <row r="307" spans="1:6" x14ac:dyDescent="0.2">
      <c r="A307" s="205">
        <v>0.47858796296296297</v>
      </c>
      <c r="B307" s="1" t="s">
        <v>997</v>
      </c>
      <c r="C307" s="1" t="s">
        <v>53</v>
      </c>
      <c r="D307" s="1" t="s">
        <v>33</v>
      </c>
      <c r="E307" s="1">
        <v>0</v>
      </c>
    </row>
    <row r="308" spans="1:6" x14ac:dyDescent="0.2">
      <c r="A308" s="205">
        <v>0.47859953703703706</v>
      </c>
      <c r="B308" s="1" t="s">
        <v>1003</v>
      </c>
      <c r="C308" s="1" t="s">
        <v>53</v>
      </c>
      <c r="D308" s="1" t="s">
        <v>33</v>
      </c>
      <c r="E308" s="1">
        <v>0</v>
      </c>
      <c r="F308" s="1">
        <v>780</v>
      </c>
    </row>
    <row r="309" spans="1:6" x14ac:dyDescent="0.2">
      <c r="A309" s="205">
        <v>0.47862268518518519</v>
      </c>
      <c r="B309" s="1" t="s">
        <v>1005</v>
      </c>
      <c r="C309" s="1" t="s">
        <v>53</v>
      </c>
      <c r="D309" s="1" t="s">
        <v>33</v>
      </c>
      <c r="E309" s="1">
        <v>0</v>
      </c>
      <c r="F309" s="1">
        <v>810</v>
      </c>
    </row>
    <row r="310" spans="1:6" x14ac:dyDescent="0.2">
      <c r="A310" s="205">
        <v>0.47872685185185188</v>
      </c>
      <c r="B310" s="1" t="s">
        <v>999</v>
      </c>
      <c r="C310" s="1" t="s">
        <v>53</v>
      </c>
      <c r="D310" s="1" t="s">
        <v>30</v>
      </c>
      <c r="E310" s="1">
        <v>210</v>
      </c>
    </row>
    <row r="311" spans="1:6" x14ac:dyDescent="0.2">
      <c r="A311" s="205">
        <v>0.47873842592592591</v>
      </c>
      <c r="B311" s="1" t="s">
        <v>1000</v>
      </c>
      <c r="C311" s="1" t="s">
        <v>53</v>
      </c>
      <c r="D311" s="1" t="s">
        <v>30</v>
      </c>
      <c r="E311" s="1">
        <v>220</v>
      </c>
      <c r="F311" s="1">
        <v>660</v>
      </c>
    </row>
    <row r="312" spans="1:6" x14ac:dyDescent="0.2">
      <c r="A312" s="205">
        <v>0.47876157407407405</v>
      </c>
      <c r="B312" s="1" t="s">
        <v>998</v>
      </c>
      <c r="C312" s="1">
        <v>52</v>
      </c>
      <c r="D312" s="1" t="s">
        <v>30</v>
      </c>
      <c r="E312" s="1">
        <v>230</v>
      </c>
    </row>
    <row r="313" spans="1:6" x14ac:dyDescent="0.2">
      <c r="A313" s="205">
        <v>0.47893518518518513</v>
      </c>
      <c r="B313" s="1" t="s">
        <v>1002</v>
      </c>
      <c r="C313" s="1" t="s">
        <v>53</v>
      </c>
      <c r="D313" s="1" t="s">
        <v>30</v>
      </c>
      <c r="E313" s="1">
        <v>240</v>
      </c>
      <c r="F313" s="1">
        <v>720</v>
      </c>
    </row>
    <row r="314" spans="1:6" x14ac:dyDescent="0.2">
      <c r="A314" s="205">
        <v>0.47895833333333332</v>
      </c>
      <c r="B314" s="1" t="s">
        <v>997</v>
      </c>
      <c r="C314" s="1" t="s">
        <v>53</v>
      </c>
      <c r="D314" s="1" t="s">
        <v>30</v>
      </c>
      <c r="E314" s="1">
        <v>250</v>
      </c>
    </row>
    <row r="315" spans="1:6" x14ac:dyDescent="0.2">
      <c r="A315" s="205">
        <v>0.47898148148148145</v>
      </c>
      <c r="B315" s="1" t="s">
        <v>1003</v>
      </c>
      <c r="C315" s="1" t="s">
        <v>53</v>
      </c>
      <c r="D315" s="1" t="s">
        <v>30</v>
      </c>
      <c r="E315" s="1">
        <v>260</v>
      </c>
      <c r="F315" s="1">
        <v>780</v>
      </c>
    </row>
    <row r="316" spans="1:6" x14ac:dyDescent="0.2">
      <c r="A316" s="205">
        <v>0.47938657407407409</v>
      </c>
      <c r="B316" s="1" t="s">
        <v>999</v>
      </c>
      <c r="C316" s="1" t="s">
        <v>53</v>
      </c>
      <c r="D316" s="1" t="s">
        <v>33</v>
      </c>
      <c r="E316" s="1">
        <v>0</v>
      </c>
    </row>
    <row r="317" spans="1:6" x14ac:dyDescent="0.2">
      <c r="A317" s="205">
        <v>0.47942129629629626</v>
      </c>
      <c r="B317" s="1" t="s">
        <v>1000</v>
      </c>
      <c r="C317" s="1" t="s">
        <v>53</v>
      </c>
      <c r="D317" s="1" t="s">
        <v>33</v>
      </c>
      <c r="E317" s="1">
        <v>0</v>
      </c>
      <c r="F317" s="1">
        <v>660</v>
      </c>
    </row>
    <row r="318" spans="1:6" x14ac:dyDescent="0.2">
      <c r="A318" s="205">
        <v>0.47943287037037036</v>
      </c>
      <c r="B318" s="1" t="s">
        <v>998</v>
      </c>
      <c r="C318" s="1">
        <v>52</v>
      </c>
      <c r="D318" s="1" t="s">
        <v>33</v>
      </c>
      <c r="E318" s="1">
        <v>0</v>
      </c>
    </row>
    <row r="319" spans="1:6" x14ac:dyDescent="0.2">
      <c r="A319" s="205">
        <v>0.4794444444444444</v>
      </c>
      <c r="B319" s="1" t="s">
        <v>1002</v>
      </c>
      <c r="C319" s="1" t="s">
        <v>53</v>
      </c>
      <c r="D319" s="1" t="s">
        <v>33</v>
      </c>
      <c r="E319" s="1">
        <v>0</v>
      </c>
      <c r="F319" s="1">
        <v>720</v>
      </c>
    </row>
    <row r="320" spans="1:6" x14ac:dyDescent="0.2">
      <c r="A320" s="205">
        <v>0.48130787037037037</v>
      </c>
      <c r="B320" s="1" t="s">
        <v>997</v>
      </c>
      <c r="C320" s="1" t="s">
        <v>53</v>
      </c>
      <c r="D320" s="1" t="s">
        <v>33</v>
      </c>
      <c r="E320" s="1">
        <v>0</v>
      </c>
    </row>
    <row r="321" spans="1:6" x14ac:dyDescent="0.2">
      <c r="A321" s="205">
        <v>0.48134259259259254</v>
      </c>
      <c r="B321" s="1" t="s">
        <v>1003</v>
      </c>
      <c r="C321" s="1" t="s">
        <v>53</v>
      </c>
      <c r="D321" s="1" t="s">
        <v>33</v>
      </c>
      <c r="E321" s="1">
        <v>0</v>
      </c>
      <c r="F321" s="1">
        <v>780</v>
      </c>
    </row>
    <row r="322" spans="1:6" x14ac:dyDescent="0.2">
      <c r="A322" s="205">
        <v>0.481412037037037</v>
      </c>
      <c r="B322" s="1" t="s">
        <v>999</v>
      </c>
      <c r="C322" s="1" t="s">
        <v>53</v>
      </c>
      <c r="D322" s="1" t="s">
        <v>30</v>
      </c>
      <c r="E322" s="1">
        <v>210</v>
      </c>
    </row>
    <row r="323" spans="1:6" x14ac:dyDescent="0.2">
      <c r="A323" s="205">
        <v>0.48142361111111115</v>
      </c>
      <c r="B323" s="1" t="s">
        <v>1000</v>
      </c>
      <c r="C323" s="1" t="s">
        <v>53</v>
      </c>
      <c r="D323" s="1" t="s">
        <v>30</v>
      </c>
      <c r="E323" s="1">
        <v>220</v>
      </c>
      <c r="F323" s="1">
        <v>660</v>
      </c>
    </row>
    <row r="324" spans="1:6" x14ac:dyDescent="0.2">
      <c r="A324" s="205">
        <v>0.48144675925925928</v>
      </c>
      <c r="B324" s="1" t="s">
        <v>998</v>
      </c>
      <c r="C324" s="1">
        <v>52</v>
      </c>
      <c r="D324" s="1" t="s">
        <v>30</v>
      </c>
      <c r="E324" s="1">
        <v>-230</v>
      </c>
    </row>
    <row r="325" spans="1:6" x14ac:dyDescent="0.2">
      <c r="A325" s="205">
        <v>0.48329861111111111</v>
      </c>
      <c r="B325" s="1" t="s">
        <v>999</v>
      </c>
      <c r="C325" s="1" t="s">
        <v>53</v>
      </c>
      <c r="D325" s="1" t="s">
        <v>30</v>
      </c>
      <c r="E325" s="1">
        <v>-210</v>
      </c>
    </row>
    <row r="326" spans="1:6" x14ac:dyDescent="0.2">
      <c r="A326" s="205">
        <v>0.48334490740740743</v>
      </c>
      <c r="B326" s="1" t="s">
        <v>1000</v>
      </c>
      <c r="C326" s="1" t="s">
        <v>53</v>
      </c>
      <c r="D326" s="1" t="s">
        <v>30</v>
      </c>
      <c r="E326" s="1">
        <v>-220</v>
      </c>
    </row>
    <row r="327" spans="1:6" x14ac:dyDescent="0.2">
      <c r="A327" s="205">
        <v>0.48340277777777779</v>
      </c>
      <c r="B327" s="1" t="s">
        <v>998</v>
      </c>
      <c r="C327" s="1">
        <v>52</v>
      </c>
      <c r="D327" s="1" t="s">
        <v>30</v>
      </c>
      <c r="E327" s="1">
        <v>-230</v>
      </c>
    </row>
    <row r="328" spans="1:6" x14ac:dyDescent="0.2">
      <c r="A328" s="205">
        <v>0.48344907407407406</v>
      </c>
      <c r="B328" s="1" t="s">
        <v>1002</v>
      </c>
      <c r="C328" s="1" t="s">
        <v>53</v>
      </c>
      <c r="D328" s="1" t="s">
        <v>30</v>
      </c>
      <c r="E328" s="1">
        <v>-240</v>
      </c>
    </row>
    <row r="329" spans="1:6" x14ac:dyDescent="0.2">
      <c r="A329" s="205">
        <v>0.48349537037037038</v>
      </c>
      <c r="B329" s="1" t="s">
        <v>997</v>
      </c>
      <c r="C329" s="1" t="s">
        <v>53</v>
      </c>
      <c r="D329" s="1" t="s">
        <v>30</v>
      </c>
      <c r="E329" s="1">
        <v>-250</v>
      </c>
    </row>
    <row r="330" spans="1:6" x14ac:dyDescent="0.2">
      <c r="A330" s="205">
        <v>0.48355324074074074</v>
      </c>
      <c r="B330" s="1" t="s">
        <v>1003</v>
      </c>
      <c r="C330" s="1" t="s">
        <v>53</v>
      </c>
      <c r="D330" s="1" t="s">
        <v>30</v>
      </c>
      <c r="E330" s="1">
        <v>-260</v>
      </c>
    </row>
    <row r="331" spans="1:6" x14ac:dyDescent="0.2">
      <c r="A331" s="205">
        <v>0.48357638888888888</v>
      </c>
      <c r="B331" s="1" t="s">
        <v>1005</v>
      </c>
      <c r="C331" s="1" t="s">
        <v>53</v>
      </c>
      <c r="D331" s="1" t="s">
        <v>30</v>
      </c>
      <c r="E331" s="1">
        <v>-270</v>
      </c>
    </row>
    <row r="332" spans="1:6" x14ac:dyDescent="0.2">
      <c r="A332" s="205">
        <v>0.48361111111111116</v>
      </c>
      <c r="B332" s="1" t="s">
        <v>1005</v>
      </c>
      <c r="C332" s="1" t="s">
        <v>53</v>
      </c>
      <c r="D332" s="1" t="s">
        <v>30</v>
      </c>
      <c r="E332" s="1">
        <v>-270</v>
      </c>
    </row>
    <row r="333" spans="1:6" x14ac:dyDescent="0.2">
      <c r="A333" s="205">
        <v>0.49762731481481487</v>
      </c>
      <c r="B333" s="1" t="s">
        <v>974</v>
      </c>
      <c r="C333" s="1">
        <v>47</v>
      </c>
      <c r="D333" s="1" t="s">
        <v>27</v>
      </c>
      <c r="E333" s="1">
        <v>100</v>
      </c>
    </row>
    <row r="334" spans="1:6" x14ac:dyDescent="0.2">
      <c r="A334" s="205">
        <v>0.49765046296296295</v>
      </c>
      <c r="B334" s="1" t="s">
        <v>978</v>
      </c>
      <c r="C334" s="1">
        <v>47</v>
      </c>
      <c r="D334" s="1" t="s">
        <v>27</v>
      </c>
      <c r="E334" s="1">
        <v>110</v>
      </c>
    </row>
    <row r="335" spans="1:6" x14ac:dyDescent="0.2">
      <c r="A335" s="205">
        <v>0.49766203703703704</v>
      </c>
      <c r="B335" s="1" t="s">
        <v>980</v>
      </c>
      <c r="C335" s="1">
        <v>52</v>
      </c>
      <c r="D335" s="1" t="s">
        <v>27</v>
      </c>
      <c r="E335" s="1">
        <v>120</v>
      </c>
    </row>
    <row r="336" spans="1:6" x14ac:dyDescent="0.2">
      <c r="A336" s="205">
        <v>0.49767361111111108</v>
      </c>
      <c r="B336" s="1" t="s">
        <v>982</v>
      </c>
      <c r="C336" s="1">
        <v>57</v>
      </c>
      <c r="D336" s="1" t="s">
        <v>27</v>
      </c>
      <c r="E336" s="1">
        <v>130</v>
      </c>
    </row>
    <row r="337" spans="1:5" x14ac:dyDescent="0.2">
      <c r="A337" s="205">
        <v>0.49768518518518517</v>
      </c>
      <c r="B337" s="1" t="s">
        <v>987</v>
      </c>
      <c r="C337" s="1">
        <v>66</v>
      </c>
      <c r="D337" s="1" t="s">
        <v>27</v>
      </c>
      <c r="E337" s="1">
        <v>140</v>
      </c>
    </row>
    <row r="338" spans="1:5" x14ac:dyDescent="0.2">
      <c r="A338" s="205">
        <v>0.49769675925925921</v>
      </c>
      <c r="B338" s="1" t="s">
        <v>984</v>
      </c>
      <c r="C338" s="1">
        <v>66</v>
      </c>
      <c r="D338" s="1" t="s">
        <v>27</v>
      </c>
      <c r="E338" s="1">
        <v>150</v>
      </c>
    </row>
    <row r="339" spans="1:5" x14ac:dyDescent="0.2">
      <c r="A339" s="205">
        <v>0.4977199074074074</v>
      </c>
      <c r="B339" s="1" t="s">
        <v>994</v>
      </c>
      <c r="C339" s="1">
        <v>57</v>
      </c>
      <c r="D339" s="1" t="s">
        <v>27</v>
      </c>
      <c r="E339" s="1">
        <v>160</v>
      </c>
    </row>
    <row r="340" spans="1:5" x14ac:dyDescent="0.2">
      <c r="A340" s="205">
        <v>0.4977314814814815</v>
      </c>
      <c r="B340" s="1" t="s">
        <v>989</v>
      </c>
      <c r="C340" s="1">
        <v>72</v>
      </c>
      <c r="D340" s="1" t="s">
        <v>27</v>
      </c>
      <c r="E340" s="1">
        <v>170</v>
      </c>
    </row>
    <row r="341" spans="1:5" x14ac:dyDescent="0.2">
      <c r="A341" s="205">
        <v>0.49774305555555554</v>
      </c>
      <c r="B341" s="1" t="s">
        <v>993</v>
      </c>
      <c r="C341" s="1">
        <v>83</v>
      </c>
      <c r="D341" s="1" t="s">
        <v>27</v>
      </c>
      <c r="E341" s="1">
        <v>180</v>
      </c>
    </row>
    <row r="342" spans="1:5" x14ac:dyDescent="0.2">
      <c r="A342" s="205">
        <v>0.49777777777777782</v>
      </c>
      <c r="B342" s="1" t="s">
        <v>990</v>
      </c>
      <c r="C342" s="1">
        <v>84</v>
      </c>
      <c r="D342" s="1" t="s">
        <v>27</v>
      </c>
      <c r="E342" s="1">
        <v>190</v>
      </c>
    </row>
    <row r="343" spans="1:5" x14ac:dyDescent="0.2">
      <c r="A343" s="205">
        <v>0.49778935185185186</v>
      </c>
      <c r="B343" s="1" t="s">
        <v>991</v>
      </c>
      <c r="C343" s="1">
        <v>83</v>
      </c>
      <c r="D343" s="1" t="s">
        <v>27</v>
      </c>
      <c r="E343" s="1">
        <v>200</v>
      </c>
    </row>
    <row r="344" spans="1:5" x14ac:dyDescent="0.2">
      <c r="A344" s="205">
        <v>0.49784722222222227</v>
      </c>
      <c r="B344" s="1" t="s">
        <v>974</v>
      </c>
      <c r="C344" s="1">
        <v>47</v>
      </c>
      <c r="D344" s="1" t="s">
        <v>29</v>
      </c>
      <c r="E344" s="1">
        <v>100</v>
      </c>
    </row>
    <row r="345" spans="1:5" x14ac:dyDescent="0.2">
      <c r="A345" s="205">
        <v>0.49785879629629631</v>
      </c>
      <c r="B345" s="1" t="s">
        <v>978</v>
      </c>
      <c r="C345" s="1">
        <v>47</v>
      </c>
      <c r="D345" s="1" t="s">
        <v>29</v>
      </c>
      <c r="E345" s="1">
        <v>110</v>
      </c>
    </row>
    <row r="346" spans="1:5" x14ac:dyDescent="0.2">
      <c r="A346" s="205">
        <v>0.49787037037037035</v>
      </c>
      <c r="B346" s="1" t="s">
        <v>980</v>
      </c>
      <c r="C346" s="1">
        <v>52</v>
      </c>
      <c r="D346" s="1" t="s">
        <v>29</v>
      </c>
      <c r="E346" s="1">
        <v>120</v>
      </c>
    </row>
    <row r="347" spans="1:5" x14ac:dyDescent="0.2">
      <c r="A347" s="205">
        <v>0.49788194444444445</v>
      </c>
      <c r="B347" s="1" t="s">
        <v>982</v>
      </c>
      <c r="C347" s="1">
        <v>57</v>
      </c>
      <c r="D347" s="1" t="s">
        <v>29</v>
      </c>
      <c r="E347" s="1">
        <v>130</v>
      </c>
    </row>
    <row r="348" spans="1:5" x14ac:dyDescent="0.2">
      <c r="A348" s="205">
        <v>0.49789351851851849</v>
      </c>
      <c r="B348" s="1" t="s">
        <v>987</v>
      </c>
      <c r="C348" s="1">
        <v>66</v>
      </c>
      <c r="D348" s="1" t="s">
        <v>29</v>
      </c>
      <c r="E348" s="1">
        <v>140</v>
      </c>
    </row>
    <row r="349" spans="1:5" x14ac:dyDescent="0.2">
      <c r="A349" s="205">
        <v>0.49790509259259258</v>
      </c>
      <c r="B349" s="1" t="s">
        <v>984</v>
      </c>
      <c r="C349" s="1">
        <v>66</v>
      </c>
      <c r="D349" s="1" t="s">
        <v>29</v>
      </c>
      <c r="E349" s="1">
        <v>150</v>
      </c>
    </row>
    <row r="350" spans="1:5" x14ac:dyDescent="0.2">
      <c r="A350" s="205">
        <v>0.49805555555555553</v>
      </c>
      <c r="B350" s="1" t="s">
        <v>994</v>
      </c>
      <c r="C350" s="1">
        <v>57</v>
      </c>
      <c r="D350" s="1" t="s">
        <v>29</v>
      </c>
      <c r="E350" s="1">
        <v>160</v>
      </c>
    </row>
    <row r="351" spans="1:5" x14ac:dyDescent="0.2">
      <c r="A351" s="205">
        <v>0.49806712962962968</v>
      </c>
      <c r="B351" s="1" t="s">
        <v>989</v>
      </c>
      <c r="C351" s="1">
        <v>72</v>
      </c>
      <c r="D351" s="1" t="s">
        <v>29</v>
      </c>
      <c r="E351" s="1">
        <v>170</v>
      </c>
    </row>
    <row r="352" spans="1:5" x14ac:dyDescent="0.2">
      <c r="A352" s="205">
        <v>0.49807870370370372</v>
      </c>
      <c r="B352" s="1" t="s">
        <v>993</v>
      </c>
      <c r="C352" s="1">
        <v>83</v>
      </c>
      <c r="D352" s="1" t="s">
        <v>29</v>
      </c>
      <c r="E352" s="1">
        <v>180</v>
      </c>
    </row>
    <row r="353" spans="1:6" x14ac:dyDescent="0.2">
      <c r="A353" s="205">
        <v>0.49810185185185185</v>
      </c>
      <c r="B353" s="1" t="s">
        <v>990</v>
      </c>
      <c r="C353" s="1">
        <v>84</v>
      </c>
      <c r="D353" s="1" t="s">
        <v>29</v>
      </c>
      <c r="E353" s="1">
        <v>190</v>
      </c>
    </row>
    <row r="354" spans="1:6" x14ac:dyDescent="0.2">
      <c r="A354" s="205">
        <v>0.49811342592592589</v>
      </c>
      <c r="B354" s="1" t="s">
        <v>991</v>
      </c>
      <c r="C354" s="1">
        <v>83</v>
      </c>
      <c r="D354" s="1" t="s">
        <v>29</v>
      </c>
      <c r="E354" s="1">
        <v>200</v>
      </c>
    </row>
    <row r="355" spans="1:6" x14ac:dyDescent="0.2">
      <c r="A355" s="205">
        <v>0.49817129629629631</v>
      </c>
      <c r="B355" s="1" t="s">
        <v>974</v>
      </c>
      <c r="C355" s="1">
        <v>47</v>
      </c>
      <c r="D355" s="1" t="s">
        <v>30</v>
      </c>
      <c r="E355" s="1">
        <v>100</v>
      </c>
      <c r="F355" s="1">
        <v>300</v>
      </c>
    </row>
    <row r="356" spans="1:6" x14ac:dyDescent="0.2">
      <c r="A356" s="205">
        <v>0.49818287037037035</v>
      </c>
      <c r="B356" s="1" t="s">
        <v>978</v>
      </c>
      <c r="C356" s="1">
        <v>47</v>
      </c>
      <c r="D356" s="1" t="s">
        <v>30</v>
      </c>
      <c r="E356" s="1">
        <v>110</v>
      </c>
      <c r="F356" s="1">
        <v>330</v>
      </c>
    </row>
    <row r="357" spans="1:6" x14ac:dyDescent="0.2">
      <c r="A357" s="205">
        <v>0.49819444444444444</v>
      </c>
      <c r="B357" s="1" t="s">
        <v>980</v>
      </c>
      <c r="C357" s="1">
        <v>52</v>
      </c>
      <c r="D357" s="1" t="s">
        <v>30</v>
      </c>
      <c r="E357" s="1">
        <v>120</v>
      </c>
      <c r="F357" s="1">
        <v>360</v>
      </c>
    </row>
    <row r="358" spans="1:6" x14ac:dyDescent="0.2">
      <c r="A358" s="205">
        <v>0.49820601851851848</v>
      </c>
      <c r="B358" s="1" t="s">
        <v>982</v>
      </c>
      <c r="C358" s="1">
        <v>57</v>
      </c>
      <c r="D358" s="1" t="s">
        <v>30</v>
      </c>
      <c r="E358" s="1">
        <v>130</v>
      </c>
      <c r="F358" s="1">
        <v>390</v>
      </c>
    </row>
    <row r="359" spans="1:6" x14ac:dyDescent="0.2">
      <c r="A359" s="205">
        <v>0.49821759259259263</v>
      </c>
      <c r="B359" s="1" t="s">
        <v>987</v>
      </c>
      <c r="C359" s="1">
        <v>66</v>
      </c>
      <c r="D359" s="1" t="s">
        <v>30</v>
      </c>
      <c r="E359" s="1">
        <v>140</v>
      </c>
      <c r="F359" s="1">
        <v>420</v>
      </c>
    </row>
    <row r="360" spans="1:6" x14ac:dyDescent="0.2">
      <c r="A360" s="205">
        <v>0.49824074074074076</v>
      </c>
      <c r="B360" s="1" t="s">
        <v>984</v>
      </c>
      <c r="C360" s="1">
        <v>66</v>
      </c>
      <c r="D360" s="1" t="s">
        <v>30</v>
      </c>
      <c r="E360" s="1">
        <v>150</v>
      </c>
      <c r="F360" s="1">
        <v>450</v>
      </c>
    </row>
    <row r="361" spans="1:6" x14ac:dyDescent="0.2">
      <c r="A361" s="205">
        <v>0.4982523148148148</v>
      </c>
      <c r="B361" s="1" t="s">
        <v>994</v>
      </c>
      <c r="C361" s="1">
        <v>57</v>
      </c>
      <c r="D361" s="1" t="s">
        <v>30</v>
      </c>
      <c r="E361" s="1">
        <v>160</v>
      </c>
      <c r="F361" s="1">
        <v>480</v>
      </c>
    </row>
    <row r="362" spans="1:6" x14ac:dyDescent="0.2">
      <c r="A362" s="205">
        <v>0.4982638888888889</v>
      </c>
      <c r="B362" s="1" t="s">
        <v>989</v>
      </c>
      <c r="C362" s="1">
        <v>72</v>
      </c>
      <c r="D362" s="1" t="s">
        <v>30</v>
      </c>
      <c r="E362" s="1">
        <v>170</v>
      </c>
      <c r="F362" s="1">
        <v>510</v>
      </c>
    </row>
    <row r="363" spans="1:6" x14ac:dyDescent="0.2">
      <c r="A363" s="205">
        <v>0.49827546296296293</v>
      </c>
      <c r="B363" s="1" t="s">
        <v>993</v>
      </c>
      <c r="C363" s="1">
        <v>83</v>
      </c>
      <c r="D363" s="1" t="s">
        <v>30</v>
      </c>
      <c r="E363" s="1">
        <v>180</v>
      </c>
      <c r="F363" s="1">
        <v>540</v>
      </c>
    </row>
    <row r="364" spans="1:6" x14ac:dyDescent="0.2">
      <c r="A364" s="205">
        <v>0.49828703703703708</v>
      </c>
      <c r="B364" s="1" t="s">
        <v>990</v>
      </c>
      <c r="C364" s="1">
        <v>84</v>
      </c>
      <c r="D364" s="1" t="s">
        <v>30</v>
      </c>
      <c r="E364" s="1">
        <v>190</v>
      </c>
      <c r="F364" s="1">
        <v>570</v>
      </c>
    </row>
    <row r="365" spans="1:6" x14ac:dyDescent="0.2">
      <c r="A365" s="205">
        <v>0.49831018518518522</v>
      </c>
      <c r="B365" s="1" t="s">
        <v>991</v>
      </c>
      <c r="C365" s="1">
        <v>83</v>
      </c>
      <c r="D365" s="1" t="s">
        <v>30</v>
      </c>
      <c r="E365" s="1">
        <v>200</v>
      </c>
      <c r="F365" s="1">
        <v>600</v>
      </c>
    </row>
    <row r="366" spans="1:6" x14ac:dyDescent="0.2">
      <c r="A366" s="205">
        <v>0.49832175925925926</v>
      </c>
      <c r="B366" s="1" t="s">
        <v>991</v>
      </c>
      <c r="C366" s="1">
        <v>83</v>
      </c>
      <c r="D366" s="1" t="s">
        <v>30</v>
      </c>
      <c r="E366" s="1">
        <v>200</v>
      </c>
      <c r="F366" s="1">
        <v>600</v>
      </c>
    </row>
    <row r="367" spans="1:6" x14ac:dyDescent="0.2">
      <c r="A367" s="205">
        <v>0.49832175925925926</v>
      </c>
      <c r="B367" s="1" t="s">
        <v>991</v>
      </c>
      <c r="C367" s="1">
        <v>83</v>
      </c>
      <c r="D367" s="1" t="s">
        <v>30</v>
      </c>
      <c r="E367" s="1">
        <v>200</v>
      </c>
      <c r="F367" s="1">
        <v>600</v>
      </c>
    </row>
    <row r="368" spans="1:6" x14ac:dyDescent="0.2">
      <c r="A368" s="205">
        <v>0.49833333333333335</v>
      </c>
      <c r="B368" s="1" t="s">
        <v>991</v>
      </c>
      <c r="C368" s="1">
        <v>83</v>
      </c>
      <c r="D368" s="1" t="s">
        <v>30</v>
      </c>
      <c r="E368" s="1">
        <v>200</v>
      </c>
      <c r="F368" s="1">
        <v>600</v>
      </c>
    </row>
    <row r="369" spans="1:6" x14ac:dyDescent="0.2">
      <c r="A369" s="205">
        <v>0.4989467592592593</v>
      </c>
      <c r="B369" s="1" t="s">
        <v>999</v>
      </c>
      <c r="C369" s="1" t="s">
        <v>53</v>
      </c>
      <c r="D369" s="1" t="s">
        <v>30</v>
      </c>
      <c r="E369" s="1">
        <v>210</v>
      </c>
    </row>
    <row r="370" spans="1:6" x14ac:dyDescent="0.2">
      <c r="A370" s="205">
        <v>0.49895833333333334</v>
      </c>
      <c r="B370" s="1" t="s">
        <v>1000</v>
      </c>
      <c r="C370" s="1" t="s">
        <v>53</v>
      </c>
      <c r="D370" s="1" t="s">
        <v>30</v>
      </c>
      <c r="E370" s="1">
        <v>220</v>
      </c>
      <c r="F370" s="1">
        <v>660</v>
      </c>
    </row>
    <row r="371" spans="1:6" x14ac:dyDescent="0.2">
      <c r="A371" s="205">
        <v>0.49898148148148147</v>
      </c>
      <c r="B371" s="1" t="s">
        <v>998</v>
      </c>
      <c r="C371" s="1">
        <v>52</v>
      </c>
      <c r="D371" s="1" t="s">
        <v>30</v>
      </c>
      <c r="E371" s="1">
        <v>230</v>
      </c>
    </row>
    <row r="372" spans="1:6" x14ac:dyDescent="0.2">
      <c r="A372" s="205">
        <v>0.49899305555555556</v>
      </c>
      <c r="B372" s="1" t="s">
        <v>1002</v>
      </c>
      <c r="C372" s="1" t="s">
        <v>53</v>
      </c>
      <c r="D372" s="1" t="s">
        <v>30</v>
      </c>
      <c r="E372" s="1">
        <v>240</v>
      </c>
      <c r="F372" s="1">
        <v>720</v>
      </c>
    </row>
    <row r="373" spans="1:6" x14ac:dyDescent="0.2">
      <c r="A373" s="205">
        <v>0.50048611111111108</v>
      </c>
      <c r="B373" s="1" t="s">
        <v>997</v>
      </c>
      <c r="C373" s="1" t="s">
        <v>53</v>
      </c>
      <c r="D373" s="1" t="s">
        <v>30</v>
      </c>
      <c r="E373" s="1">
        <v>250</v>
      </c>
    </row>
    <row r="374" spans="1:6" x14ac:dyDescent="0.2">
      <c r="A374" s="205">
        <v>0.50049768518518511</v>
      </c>
      <c r="B374" s="1" t="s">
        <v>1003</v>
      </c>
      <c r="C374" s="1" t="s">
        <v>53</v>
      </c>
      <c r="D374" s="1" t="s">
        <v>30</v>
      </c>
      <c r="E374" s="1">
        <v>260</v>
      </c>
      <c r="F374" s="1">
        <v>780</v>
      </c>
    </row>
    <row r="375" spans="1:6" x14ac:dyDescent="0.2">
      <c r="A375" s="205">
        <v>0.5005208333333333</v>
      </c>
      <c r="B375" s="1" t="s">
        <v>1005</v>
      </c>
      <c r="C375" s="1" t="s">
        <v>53</v>
      </c>
      <c r="D375" s="1" t="s">
        <v>30</v>
      </c>
      <c r="E375" s="1">
        <v>270</v>
      </c>
      <c r="F375" s="1">
        <v>810</v>
      </c>
    </row>
    <row r="376" spans="1:6" x14ac:dyDescent="0.2">
      <c r="A376" s="205">
        <v>0.50055555555555553</v>
      </c>
      <c r="B376" s="1" t="s">
        <v>1005</v>
      </c>
      <c r="C376" s="1" t="s">
        <v>53</v>
      </c>
      <c r="D376" s="1" t="s">
        <v>30</v>
      </c>
      <c r="E376" s="1">
        <v>270</v>
      </c>
      <c r="F376" s="1">
        <v>810</v>
      </c>
    </row>
    <row r="377" spans="1:6" x14ac:dyDescent="0.2">
      <c r="A377" s="205">
        <v>0.508275462962963</v>
      </c>
      <c r="B377" s="1" t="s">
        <v>989</v>
      </c>
      <c r="C377" s="1">
        <v>72</v>
      </c>
      <c r="D377" s="1" t="s">
        <v>27</v>
      </c>
      <c r="E377" s="1">
        <v>170</v>
      </c>
      <c r="F377" s="1">
        <v>510</v>
      </c>
    </row>
    <row r="378" spans="1:6" x14ac:dyDescent="0.2">
      <c r="A378" s="205">
        <v>0.50829861111111108</v>
      </c>
      <c r="B378" s="1" t="s">
        <v>978</v>
      </c>
      <c r="C378" s="1">
        <v>47</v>
      </c>
      <c r="D378" s="1" t="s">
        <v>27</v>
      </c>
      <c r="E378" s="1">
        <v>110</v>
      </c>
      <c r="F378" s="1">
        <v>330</v>
      </c>
    </row>
    <row r="379" spans="1:6" x14ac:dyDescent="0.2">
      <c r="A379" s="205">
        <v>0.50831018518518511</v>
      </c>
      <c r="B379" s="1" t="s">
        <v>990</v>
      </c>
      <c r="C379" s="1">
        <v>84</v>
      </c>
      <c r="D379" s="1" t="s">
        <v>27</v>
      </c>
      <c r="E379" s="1">
        <v>190</v>
      </c>
      <c r="F379" s="1">
        <v>570</v>
      </c>
    </row>
    <row r="380" spans="1:6" x14ac:dyDescent="0.2">
      <c r="A380" s="205">
        <v>0.50832175925925926</v>
      </c>
      <c r="B380" s="1" t="s">
        <v>987</v>
      </c>
      <c r="C380" s="1">
        <v>66</v>
      </c>
      <c r="D380" s="1" t="s">
        <v>27</v>
      </c>
      <c r="E380" s="1">
        <v>140</v>
      </c>
      <c r="F380" s="1">
        <v>420</v>
      </c>
    </row>
    <row r="381" spans="1:6" x14ac:dyDescent="0.2">
      <c r="A381" s="205">
        <v>0.50834490740740745</v>
      </c>
      <c r="B381" s="1" t="s">
        <v>993</v>
      </c>
      <c r="C381" s="1">
        <v>83</v>
      </c>
      <c r="D381" s="1" t="s">
        <v>27</v>
      </c>
      <c r="E381" s="1">
        <v>180</v>
      </c>
      <c r="F381" s="1">
        <v>540</v>
      </c>
    </row>
    <row r="382" spans="1:6" x14ac:dyDescent="0.2">
      <c r="A382" s="205">
        <v>0.50835648148148149</v>
      </c>
      <c r="B382" s="1" t="s">
        <v>984</v>
      </c>
      <c r="C382" s="1">
        <v>66</v>
      </c>
      <c r="D382" s="1" t="s">
        <v>27</v>
      </c>
      <c r="E382" s="1">
        <v>150</v>
      </c>
      <c r="F382" s="1">
        <v>450</v>
      </c>
    </row>
    <row r="383" spans="1:6" x14ac:dyDescent="0.2">
      <c r="A383" s="205">
        <v>0.50836805555555553</v>
      </c>
      <c r="B383" s="1" t="s">
        <v>991</v>
      </c>
      <c r="C383" s="1">
        <v>83</v>
      </c>
      <c r="D383" s="1" t="s">
        <v>27</v>
      </c>
      <c r="E383" s="1">
        <v>200</v>
      </c>
      <c r="F383" s="1">
        <v>600</v>
      </c>
    </row>
    <row r="384" spans="1:6" x14ac:dyDescent="0.2">
      <c r="A384" s="205">
        <v>0.50839120370370372</v>
      </c>
      <c r="B384" s="1" t="s">
        <v>991</v>
      </c>
      <c r="C384" s="1">
        <v>83</v>
      </c>
      <c r="D384" s="1" t="s">
        <v>27</v>
      </c>
      <c r="E384" s="1">
        <v>200</v>
      </c>
      <c r="F384" s="1">
        <v>600</v>
      </c>
    </row>
    <row r="385" spans="1:6" x14ac:dyDescent="0.2">
      <c r="A385" s="205">
        <v>0.50855324074074071</v>
      </c>
      <c r="B385" s="1" t="s">
        <v>999</v>
      </c>
      <c r="C385" s="1" t="s">
        <v>53</v>
      </c>
      <c r="D385" s="1" t="s">
        <v>27</v>
      </c>
      <c r="E385" s="1">
        <v>210</v>
      </c>
      <c r="F385" s="1">
        <v>630</v>
      </c>
    </row>
    <row r="386" spans="1:6" x14ac:dyDescent="0.2">
      <c r="A386" s="205">
        <v>0.50873842592592589</v>
      </c>
      <c r="B386" s="1" t="s">
        <v>1000</v>
      </c>
      <c r="C386" s="1" t="s">
        <v>53</v>
      </c>
      <c r="D386" s="1" t="s">
        <v>27</v>
      </c>
      <c r="E386" s="1">
        <v>220</v>
      </c>
      <c r="F386" s="1">
        <v>660</v>
      </c>
    </row>
    <row r="387" spans="1:6" x14ac:dyDescent="0.2">
      <c r="A387" s="205">
        <v>0.67541666666666667</v>
      </c>
      <c r="B387" s="1" t="s">
        <v>974</v>
      </c>
      <c r="C387" s="1">
        <v>47</v>
      </c>
      <c r="D387" s="1" t="s">
        <v>27</v>
      </c>
      <c r="E387" s="1">
        <v>100</v>
      </c>
    </row>
    <row r="388" spans="1:6" x14ac:dyDescent="0.2">
      <c r="A388" s="205">
        <v>0.6754282407407407</v>
      </c>
      <c r="B388" s="1" t="s">
        <v>978</v>
      </c>
      <c r="C388" s="1">
        <v>47</v>
      </c>
      <c r="D388" s="1" t="s">
        <v>27</v>
      </c>
      <c r="E388" s="1">
        <v>110</v>
      </c>
    </row>
    <row r="389" spans="1:6" x14ac:dyDescent="0.2">
      <c r="A389" s="205">
        <v>0.67543981481481474</v>
      </c>
      <c r="B389" s="1" t="s">
        <v>980</v>
      </c>
      <c r="C389" s="1">
        <v>52</v>
      </c>
      <c r="D389" s="1" t="s">
        <v>27</v>
      </c>
      <c r="E389" s="1">
        <v>120</v>
      </c>
    </row>
    <row r="390" spans="1:6" x14ac:dyDescent="0.2">
      <c r="A390" s="205">
        <v>0.67545138888888889</v>
      </c>
      <c r="B390" s="1" t="s">
        <v>982</v>
      </c>
      <c r="C390" s="1">
        <v>57</v>
      </c>
      <c r="D390" s="1" t="s">
        <v>27</v>
      </c>
      <c r="E390" s="1">
        <v>130</v>
      </c>
    </row>
    <row r="391" spans="1:6" x14ac:dyDescent="0.2">
      <c r="A391" s="205">
        <v>0.67546296296296304</v>
      </c>
      <c r="B391" s="1" t="s">
        <v>987</v>
      </c>
      <c r="C391" s="1">
        <v>72</v>
      </c>
      <c r="D391" s="1" t="s">
        <v>27</v>
      </c>
      <c r="E391" s="1">
        <v>140</v>
      </c>
    </row>
    <row r="392" spans="1:6" x14ac:dyDescent="0.2">
      <c r="A392" s="205">
        <v>0.67548611111111112</v>
      </c>
      <c r="B392" s="1" t="s">
        <v>984</v>
      </c>
      <c r="C392" s="1">
        <v>63</v>
      </c>
      <c r="D392" s="1" t="s">
        <v>27</v>
      </c>
      <c r="E392" s="1">
        <v>150</v>
      </c>
    </row>
    <row r="393" spans="1:6" x14ac:dyDescent="0.2">
      <c r="A393" s="205">
        <v>0.67549768518518516</v>
      </c>
      <c r="B393" s="1" t="s">
        <v>994</v>
      </c>
      <c r="C393" s="1">
        <v>57</v>
      </c>
      <c r="D393" s="1" t="s">
        <v>27</v>
      </c>
      <c r="E393" s="1">
        <v>160</v>
      </c>
    </row>
    <row r="394" spans="1:6" x14ac:dyDescent="0.2">
      <c r="A394" s="205">
        <v>0.67550925925925931</v>
      </c>
      <c r="B394" s="1" t="s">
        <v>989</v>
      </c>
      <c r="C394" s="1">
        <v>72</v>
      </c>
      <c r="D394" s="1" t="s">
        <v>27</v>
      </c>
      <c r="E394" s="1">
        <v>170</v>
      </c>
    </row>
    <row r="395" spans="1:6" x14ac:dyDescent="0.2">
      <c r="A395" s="205">
        <v>0.67552083333333324</v>
      </c>
      <c r="B395" s="1" t="s">
        <v>993</v>
      </c>
      <c r="C395" s="1">
        <v>84</v>
      </c>
      <c r="D395" s="1" t="s">
        <v>27</v>
      </c>
      <c r="E395" s="1">
        <v>180</v>
      </c>
    </row>
    <row r="396" spans="1:6" x14ac:dyDescent="0.2">
      <c r="A396" s="205">
        <v>0.67553240740740739</v>
      </c>
      <c r="B396" s="1" t="s">
        <v>990</v>
      </c>
      <c r="C396" s="1">
        <v>84</v>
      </c>
      <c r="D396" s="1" t="s">
        <v>27</v>
      </c>
      <c r="E396" s="1">
        <v>190</v>
      </c>
    </row>
    <row r="397" spans="1:6" x14ac:dyDescent="0.2">
      <c r="A397" s="205">
        <v>0.67555555555555558</v>
      </c>
      <c r="B397" s="1" t="s">
        <v>991</v>
      </c>
      <c r="C397" s="1">
        <v>84</v>
      </c>
      <c r="D397" s="1" t="s">
        <v>27</v>
      </c>
      <c r="E397" s="1">
        <v>200</v>
      </c>
    </row>
    <row r="398" spans="1:6" x14ac:dyDescent="0.2">
      <c r="A398" s="205">
        <v>0.67560185185185195</v>
      </c>
      <c r="B398" s="1" t="s">
        <v>974</v>
      </c>
      <c r="C398" s="1">
        <v>47</v>
      </c>
      <c r="D398" s="1" t="s">
        <v>29</v>
      </c>
      <c r="E398" s="1">
        <v>100</v>
      </c>
    </row>
    <row r="399" spans="1:6" x14ac:dyDescent="0.2">
      <c r="A399" s="205">
        <v>0.67561342592592588</v>
      </c>
      <c r="B399" s="1" t="s">
        <v>978</v>
      </c>
      <c r="C399" s="1">
        <v>47</v>
      </c>
      <c r="D399" s="1" t="s">
        <v>29</v>
      </c>
      <c r="E399" s="1">
        <v>110</v>
      </c>
    </row>
    <row r="400" spans="1:6" x14ac:dyDescent="0.2">
      <c r="A400" s="205">
        <v>0.67563657407407407</v>
      </c>
      <c r="B400" s="1" t="s">
        <v>980</v>
      </c>
      <c r="C400" s="1">
        <v>52</v>
      </c>
      <c r="D400" s="1" t="s">
        <v>29</v>
      </c>
      <c r="E400" s="1">
        <v>120</v>
      </c>
    </row>
    <row r="401" spans="1:6" x14ac:dyDescent="0.2">
      <c r="A401" s="205">
        <v>0.67564814814814822</v>
      </c>
      <c r="B401" s="1" t="s">
        <v>982</v>
      </c>
      <c r="C401" s="1">
        <v>57</v>
      </c>
      <c r="D401" s="1" t="s">
        <v>29</v>
      </c>
      <c r="E401" s="1">
        <v>130</v>
      </c>
    </row>
    <row r="402" spans="1:6" x14ac:dyDescent="0.2">
      <c r="A402" s="205">
        <v>0.67565972222222215</v>
      </c>
      <c r="B402" s="1" t="s">
        <v>987</v>
      </c>
      <c r="C402" s="1">
        <v>72</v>
      </c>
      <c r="D402" s="1" t="s">
        <v>29</v>
      </c>
      <c r="E402" s="1">
        <v>140</v>
      </c>
    </row>
    <row r="403" spans="1:6" x14ac:dyDescent="0.2">
      <c r="A403" s="205">
        <v>0.6756712962962963</v>
      </c>
      <c r="B403" s="1" t="s">
        <v>984</v>
      </c>
      <c r="C403" s="1">
        <v>63</v>
      </c>
      <c r="D403" s="1" t="s">
        <v>29</v>
      </c>
      <c r="E403" s="1">
        <v>150</v>
      </c>
    </row>
    <row r="404" spans="1:6" x14ac:dyDescent="0.2">
      <c r="A404" s="205">
        <v>0.67568287037037045</v>
      </c>
      <c r="B404" s="1" t="s">
        <v>994</v>
      </c>
      <c r="C404" s="1">
        <v>57</v>
      </c>
      <c r="D404" s="1" t="s">
        <v>29</v>
      </c>
      <c r="E404" s="1">
        <v>160</v>
      </c>
    </row>
    <row r="405" spans="1:6" x14ac:dyDescent="0.2">
      <c r="A405" s="205">
        <v>0.67569444444444438</v>
      </c>
      <c r="B405" s="1" t="s">
        <v>989</v>
      </c>
      <c r="C405" s="1">
        <v>72</v>
      </c>
      <c r="D405" s="1" t="s">
        <v>29</v>
      </c>
      <c r="E405" s="1">
        <v>170</v>
      </c>
    </row>
    <row r="406" spans="1:6" x14ac:dyDescent="0.2">
      <c r="A406" s="205">
        <v>0.67571759259259256</v>
      </c>
      <c r="B406" s="1" t="s">
        <v>993</v>
      </c>
      <c r="C406" s="1">
        <v>84</v>
      </c>
      <c r="D406" s="1" t="s">
        <v>29</v>
      </c>
      <c r="E406" s="1">
        <v>180</v>
      </c>
    </row>
    <row r="407" spans="1:6" x14ac:dyDescent="0.2">
      <c r="A407" s="205">
        <v>0.67572916666666671</v>
      </c>
      <c r="B407" s="1" t="s">
        <v>990</v>
      </c>
      <c r="C407" s="1">
        <v>84</v>
      </c>
      <c r="D407" s="1" t="s">
        <v>29</v>
      </c>
      <c r="E407" s="1">
        <v>190</v>
      </c>
    </row>
    <row r="408" spans="1:6" x14ac:dyDescent="0.2">
      <c r="A408" s="205">
        <v>0.67574074074074064</v>
      </c>
      <c r="B408" s="1" t="s">
        <v>991</v>
      </c>
      <c r="C408" s="1">
        <v>84</v>
      </c>
      <c r="D408" s="1" t="s">
        <v>29</v>
      </c>
      <c r="E408" s="1">
        <v>200</v>
      </c>
    </row>
    <row r="409" spans="1:6" x14ac:dyDescent="0.2">
      <c r="A409" s="205">
        <v>0.67575231481481479</v>
      </c>
      <c r="B409" s="1" t="s">
        <v>991</v>
      </c>
      <c r="C409" s="1">
        <v>84</v>
      </c>
      <c r="D409" s="1" t="s">
        <v>29</v>
      </c>
      <c r="E409" s="1">
        <v>200</v>
      </c>
    </row>
    <row r="410" spans="1:6" x14ac:dyDescent="0.2">
      <c r="A410" s="205">
        <v>0.67579861111111106</v>
      </c>
      <c r="B410" s="1" t="s">
        <v>974</v>
      </c>
      <c r="C410" s="1">
        <v>47</v>
      </c>
      <c r="D410" s="1" t="s">
        <v>30</v>
      </c>
      <c r="E410" s="1">
        <v>100</v>
      </c>
      <c r="F410" s="1">
        <v>300</v>
      </c>
    </row>
    <row r="411" spans="1:6" x14ac:dyDescent="0.2">
      <c r="A411" s="205">
        <v>0.67581018518518521</v>
      </c>
      <c r="B411" s="1" t="s">
        <v>978</v>
      </c>
      <c r="C411" s="1">
        <v>47</v>
      </c>
      <c r="D411" s="1" t="s">
        <v>30</v>
      </c>
      <c r="E411" s="1">
        <v>110</v>
      </c>
      <c r="F411" s="1">
        <v>330</v>
      </c>
    </row>
    <row r="412" spans="1:6" x14ac:dyDescent="0.2">
      <c r="A412" s="205">
        <v>0.67582175925925936</v>
      </c>
      <c r="B412" s="1" t="s">
        <v>980</v>
      </c>
      <c r="C412" s="1">
        <v>52</v>
      </c>
      <c r="D412" s="1" t="s">
        <v>30</v>
      </c>
      <c r="E412" s="1">
        <v>120</v>
      </c>
      <c r="F412" s="1">
        <v>360</v>
      </c>
    </row>
    <row r="413" spans="1:6" x14ac:dyDescent="0.2">
      <c r="A413" s="205">
        <v>0.67583333333333329</v>
      </c>
      <c r="B413" s="1" t="s">
        <v>982</v>
      </c>
      <c r="C413" s="1">
        <v>57</v>
      </c>
      <c r="D413" s="1" t="s">
        <v>30</v>
      </c>
      <c r="E413" s="1">
        <v>130</v>
      </c>
      <c r="F413" s="1">
        <v>390</v>
      </c>
    </row>
    <row r="414" spans="1:6" x14ac:dyDescent="0.2">
      <c r="A414" s="205">
        <v>0.67584490740740744</v>
      </c>
      <c r="B414" s="1" t="s">
        <v>987</v>
      </c>
      <c r="C414" s="1">
        <v>72</v>
      </c>
      <c r="D414" s="1" t="s">
        <v>30</v>
      </c>
      <c r="E414" s="1">
        <v>140</v>
      </c>
      <c r="F414" s="1">
        <v>420</v>
      </c>
    </row>
    <row r="415" spans="1:6" x14ac:dyDescent="0.2">
      <c r="A415" s="205">
        <v>0.67585648148148147</v>
      </c>
      <c r="B415" s="1" t="s">
        <v>984</v>
      </c>
      <c r="C415" s="1">
        <v>63</v>
      </c>
      <c r="D415" s="1" t="s">
        <v>30</v>
      </c>
      <c r="E415" s="1">
        <v>150</v>
      </c>
      <c r="F415" s="1">
        <v>450</v>
      </c>
    </row>
    <row r="416" spans="1:6" x14ac:dyDescent="0.2">
      <c r="A416" s="205">
        <v>0.67587962962962955</v>
      </c>
      <c r="B416" s="1" t="s">
        <v>994</v>
      </c>
      <c r="C416" s="1">
        <v>57</v>
      </c>
      <c r="D416" s="1" t="s">
        <v>30</v>
      </c>
      <c r="E416" s="1">
        <v>160</v>
      </c>
      <c r="F416" s="1">
        <v>480</v>
      </c>
    </row>
    <row r="417" spans="1:6" x14ac:dyDescent="0.2">
      <c r="A417" s="205">
        <v>0.6758912037037037</v>
      </c>
      <c r="B417" s="1" t="s">
        <v>989</v>
      </c>
      <c r="C417" s="1">
        <v>72</v>
      </c>
      <c r="D417" s="1" t="s">
        <v>30</v>
      </c>
      <c r="E417" s="1">
        <v>170</v>
      </c>
      <c r="F417" s="1">
        <v>510</v>
      </c>
    </row>
    <row r="418" spans="1:6" x14ac:dyDescent="0.2">
      <c r="A418" s="205">
        <v>0.67590277777777785</v>
      </c>
      <c r="B418" s="1" t="s">
        <v>993</v>
      </c>
      <c r="C418" s="1">
        <v>84</v>
      </c>
      <c r="D418" s="1" t="s">
        <v>30</v>
      </c>
      <c r="E418" s="1">
        <v>180</v>
      </c>
      <c r="F418" s="1">
        <v>540</v>
      </c>
    </row>
    <row r="419" spans="1:6" x14ac:dyDescent="0.2">
      <c r="A419" s="205">
        <v>0.67591435185185178</v>
      </c>
      <c r="B419" s="1" t="s">
        <v>990</v>
      </c>
      <c r="C419" s="1">
        <v>84</v>
      </c>
      <c r="D419" s="1" t="s">
        <v>30</v>
      </c>
      <c r="E419" s="1">
        <v>190</v>
      </c>
      <c r="F419" s="1">
        <v>570</v>
      </c>
    </row>
    <row r="420" spans="1:6" x14ac:dyDescent="0.2">
      <c r="A420" s="205">
        <v>0.67592592592592593</v>
      </c>
      <c r="B420" s="1" t="s">
        <v>991</v>
      </c>
      <c r="C420" s="1">
        <v>84</v>
      </c>
      <c r="D420" s="1" t="s">
        <v>30</v>
      </c>
      <c r="E420" s="1">
        <v>200</v>
      </c>
      <c r="F420" s="1">
        <v>600</v>
      </c>
    </row>
    <row r="421" spans="1:6" x14ac:dyDescent="0.2">
      <c r="A421" s="205">
        <v>0.67594907407407412</v>
      </c>
      <c r="B421" s="1" t="s">
        <v>991</v>
      </c>
      <c r="C421" s="1">
        <v>84</v>
      </c>
      <c r="D421" s="1" t="s">
        <v>30</v>
      </c>
      <c r="E421" s="1">
        <v>200</v>
      </c>
      <c r="F421" s="1">
        <v>600</v>
      </c>
    </row>
    <row r="422" spans="1:6" x14ac:dyDescent="0.2">
      <c r="A422" s="205">
        <v>0.68131944444444448</v>
      </c>
      <c r="B422" s="1" t="s">
        <v>974</v>
      </c>
      <c r="C422" s="1">
        <v>47</v>
      </c>
      <c r="D422" s="1" t="s">
        <v>27</v>
      </c>
      <c r="E422" s="1">
        <v>100</v>
      </c>
    </row>
    <row r="423" spans="1:6" x14ac:dyDescent="0.2">
      <c r="A423" s="205">
        <v>0.68134259259259267</v>
      </c>
      <c r="B423" s="1" t="s">
        <v>978</v>
      </c>
      <c r="C423" s="1">
        <v>47</v>
      </c>
      <c r="D423" s="1" t="s">
        <v>27</v>
      </c>
      <c r="E423" s="1">
        <v>110</v>
      </c>
    </row>
    <row r="424" spans="1:6" x14ac:dyDescent="0.2">
      <c r="A424" s="205">
        <v>0.68135416666666659</v>
      </c>
      <c r="B424" s="1" t="s">
        <v>980</v>
      </c>
      <c r="C424" s="1">
        <v>52</v>
      </c>
      <c r="D424" s="1" t="s">
        <v>27</v>
      </c>
      <c r="E424" s="1">
        <v>120</v>
      </c>
    </row>
    <row r="425" spans="1:6" x14ac:dyDescent="0.2">
      <c r="A425" s="205">
        <v>0.68136574074074074</v>
      </c>
      <c r="B425" s="1" t="s">
        <v>982</v>
      </c>
      <c r="C425" s="1">
        <v>57</v>
      </c>
      <c r="D425" s="1" t="s">
        <v>27</v>
      </c>
      <c r="E425" s="1">
        <v>130</v>
      </c>
    </row>
    <row r="426" spans="1:6" x14ac:dyDescent="0.2">
      <c r="A426" s="205">
        <v>0.68137731481481489</v>
      </c>
      <c r="B426" s="1" t="s">
        <v>987</v>
      </c>
      <c r="C426" s="1">
        <v>72</v>
      </c>
      <c r="D426" s="1" t="s">
        <v>27</v>
      </c>
      <c r="E426" s="1">
        <v>140</v>
      </c>
    </row>
    <row r="427" spans="1:6" x14ac:dyDescent="0.2">
      <c r="A427" s="205">
        <v>0.68140046296296297</v>
      </c>
      <c r="B427" s="1" t="s">
        <v>984</v>
      </c>
      <c r="C427" s="1">
        <v>63</v>
      </c>
      <c r="D427" s="1" t="s">
        <v>27</v>
      </c>
      <c r="E427" s="1">
        <v>-150</v>
      </c>
    </row>
    <row r="428" spans="1:6" x14ac:dyDescent="0.2">
      <c r="A428" s="205">
        <v>0.68141203703703701</v>
      </c>
      <c r="B428" s="1" t="s">
        <v>994</v>
      </c>
      <c r="C428" s="1">
        <v>57</v>
      </c>
      <c r="D428" s="1" t="s">
        <v>27</v>
      </c>
      <c r="E428" s="1">
        <v>-160</v>
      </c>
    </row>
    <row r="429" spans="1:6" x14ac:dyDescent="0.2">
      <c r="A429" s="205">
        <v>0.68143518518518509</v>
      </c>
      <c r="B429" s="1" t="s">
        <v>989</v>
      </c>
      <c r="C429" s="1">
        <v>72</v>
      </c>
      <c r="D429" s="1" t="s">
        <v>27</v>
      </c>
      <c r="E429" s="1">
        <v>-170</v>
      </c>
    </row>
    <row r="430" spans="1:6" x14ac:dyDescent="0.2">
      <c r="A430" s="205">
        <v>0.68145833333333339</v>
      </c>
      <c r="B430" s="1" t="s">
        <v>993</v>
      </c>
      <c r="C430" s="1">
        <v>84</v>
      </c>
      <c r="D430" s="1" t="s">
        <v>27</v>
      </c>
      <c r="E430" s="1">
        <v>-180</v>
      </c>
    </row>
    <row r="431" spans="1:6" x14ac:dyDescent="0.2">
      <c r="A431" s="205">
        <v>0.68146990740740743</v>
      </c>
      <c r="B431" s="1" t="s">
        <v>990</v>
      </c>
      <c r="C431" s="1">
        <v>84</v>
      </c>
      <c r="D431" s="1" t="s">
        <v>27</v>
      </c>
      <c r="E431" s="1">
        <v>-190</v>
      </c>
    </row>
    <row r="432" spans="1:6" x14ac:dyDescent="0.2">
      <c r="A432" s="205">
        <v>0.68184027777777778</v>
      </c>
      <c r="B432" s="1" t="s">
        <v>974</v>
      </c>
      <c r="C432" s="1">
        <v>47</v>
      </c>
      <c r="D432" s="1" t="s">
        <v>31</v>
      </c>
      <c r="E432" s="1">
        <v>110</v>
      </c>
    </row>
    <row r="433" spans="1:6" x14ac:dyDescent="0.2">
      <c r="A433" s="205">
        <v>0.68185185185185182</v>
      </c>
      <c r="B433" s="1" t="s">
        <v>978</v>
      </c>
      <c r="C433" s="1">
        <v>47</v>
      </c>
      <c r="D433" s="1" t="s">
        <v>31</v>
      </c>
      <c r="E433" s="1">
        <v>-120</v>
      </c>
      <c r="F433" s="1">
        <v>330</v>
      </c>
    </row>
    <row r="434" spans="1:6" x14ac:dyDescent="0.2">
      <c r="A434" s="205">
        <v>0.68188657407407405</v>
      </c>
      <c r="B434" s="1" t="s">
        <v>980</v>
      </c>
      <c r="C434" s="1">
        <v>52</v>
      </c>
      <c r="D434" s="1" t="s">
        <v>31</v>
      </c>
      <c r="E434" s="1">
        <v>-130</v>
      </c>
      <c r="F434" s="1">
        <v>360</v>
      </c>
    </row>
    <row r="435" spans="1:6" x14ac:dyDescent="0.2">
      <c r="A435" s="205">
        <v>0.68192129629629628</v>
      </c>
      <c r="B435" s="1" t="s">
        <v>982</v>
      </c>
      <c r="C435" s="1">
        <v>57</v>
      </c>
      <c r="D435" s="1" t="s">
        <v>31</v>
      </c>
      <c r="E435" s="1">
        <v>-140</v>
      </c>
      <c r="F435" s="1">
        <v>390</v>
      </c>
    </row>
    <row r="436" spans="1:6" x14ac:dyDescent="0.2">
      <c r="A436" s="205">
        <v>0.68194444444444446</v>
      </c>
      <c r="B436" s="1" t="s">
        <v>987</v>
      </c>
      <c r="C436" s="1">
        <v>72</v>
      </c>
      <c r="D436" s="1" t="s">
        <v>31</v>
      </c>
      <c r="E436" s="1">
        <v>-150</v>
      </c>
      <c r="F436" s="1">
        <v>420</v>
      </c>
    </row>
    <row r="437" spans="1:6" x14ac:dyDescent="0.2">
      <c r="A437" s="205">
        <v>0.68196759259259254</v>
      </c>
      <c r="B437" s="1" t="s">
        <v>984</v>
      </c>
      <c r="C437" s="1">
        <v>63</v>
      </c>
      <c r="D437" s="1" t="s">
        <v>31</v>
      </c>
      <c r="E437" s="1">
        <v>-160</v>
      </c>
    </row>
    <row r="438" spans="1:6" x14ac:dyDescent="0.2">
      <c r="A438" s="205">
        <v>0.68199074074074073</v>
      </c>
      <c r="B438" s="1" t="s">
        <v>994</v>
      </c>
      <c r="C438" s="1">
        <v>57</v>
      </c>
      <c r="D438" s="1" t="s">
        <v>31</v>
      </c>
      <c r="E438" s="1">
        <v>-170</v>
      </c>
    </row>
    <row r="439" spans="1:6" x14ac:dyDescent="0.2">
      <c r="A439" s="205">
        <v>0.68202546296296296</v>
      </c>
      <c r="B439" s="1" t="s">
        <v>989</v>
      </c>
      <c r="C439" s="1">
        <v>72</v>
      </c>
      <c r="D439" s="1" t="s">
        <v>31</v>
      </c>
      <c r="E439" s="1">
        <v>-180</v>
      </c>
    </row>
    <row r="440" spans="1:6" x14ac:dyDescent="0.2">
      <c r="A440" s="205">
        <v>0.68206018518518519</v>
      </c>
      <c r="B440" s="1" t="s">
        <v>993</v>
      </c>
      <c r="C440" s="1">
        <v>84</v>
      </c>
      <c r="D440" s="1" t="s">
        <v>31</v>
      </c>
      <c r="E440" s="1">
        <v>-190</v>
      </c>
    </row>
    <row r="441" spans="1:6" x14ac:dyDescent="0.2">
      <c r="A441" s="205">
        <v>0.68237268518518512</v>
      </c>
      <c r="B441" s="1" t="s">
        <v>974</v>
      </c>
      <c r="C441" s="1">
        <v>47</v>
      </c>
      <c r="D441" s="1" t="s">
        <v>31</v>
      </c>
      <c r="E441" s="1">
        <v>110</v>
      </c>
    </row>
    <row r="442" spans="1:6" x14ac:dyDescent="0.2">
      <c r="A442" s="205">
        <v>0.68238425925925927</v>
      </c>
      <c r="B442" s="1" t="s">
        <v>978</v>
      </c>
      <c r="C442" s="1">
        <v>47</v>
      </c>
      <c r="D442" s="1" t="s">
        <v>31</v>
      </c>
      <c r="E442" s="1">
        <v>120</v>
      </c>
    </row>
    <row r="443" spans="1:6" x14ac:dyDescent="0.2">
      <c r="A443" s="205">
        <v>0.68240740740740735</v>
      </c>
      <c r="B443" s="1" t="s">
        <v>980</v>
      </c>
      <c r="C443" s="1">
        <v>52</v>
      </c>
      <c r="D443" s="1" t="s">
        <v>31</v>
      </c>
      <c r="E443" s="1">
        <v>130</v>
      </c>
    </row>
    <row r="444" spans="1:6" x14ac:dyDescent="0.2">
      <c r="A444" s="205">
        <v>0.6824189814814815</v>
      </c>
      <c r="B444" s="1" t="s">
        <v>982</v>
      </c>
      <c r="C444" s="1">
        <v>57</v>
      </c>
      <c r="D444" s="1" t="s">
        <v>31</v>
      </c>
      <c r="E444" s="1">
        <v>140</v>
      </c>
    </row>
    <row r="445" spans="1:6" x14ac:dyDescent="0.2">
      <c r="A445" s="205">
        <v>0.68243055555555554</v>
      </c>
      <c r="B445" s="1" t="s">
        <v>987</v>
      </c>
      <c r="C445" s="1">
        <v>72</v>
      </c>
      <c r="D445" s="1" t="s">
        <v>31</v>
      </c>
      <c r="E445" s="1">
        <v>150</v>
      </c>
    </row>
    <row r="446" spans="1:6" x14ac:dyDescent="0.2">
      <c r="A446" s="205">
        <v>0.68245370370370362</v>
      </c>
      <c r="B446" s="1" t="s">
        <v>984</v>
      </c>
      <c r="C446" s="1">
        <v>63</v>
      </c>
      <c r="D446" s="1" t="s">
        <v>31</v>
      </c>
      <c r="E446" s="1">
        <v>160</v>
      </c>
    </row>
    <row r="447" spans="1:6" x14ac:dyDescent="0.2">
      <c r="A447" s="205">
        <v>0.68246527777777777</v>
      </c>
      <c r="B447" s="1" t="s">
        <v>994</v>
      </c>
      <c r="C447" s="1">
        <v>57</v>
      </c>
      <c r="D447" s="1" t="s">
        <v>31</v>
      </c>
      <c r="E447" s="1">
        <v>170</v>
      </c>
    </row>
    <row r="448" spans="1:6" x14ac:dyDescent="0.2">
      <c r="A448" s="205">
        <v>0.68247685185185192</v>
      </c>
      <c r="B448" s="1" t="s">
        <v>989</v>
      </c>
      <c r="C448" s="1">
        <v>72</v>
      </c>
      <c r="D448" s="1" t="s">
        <v>31</v>
      </c>
      <c r="E448" s="1">
        <v>180</v>
      </c>
    </row>
    <row r="449" spans="1:6" x14ac:dyDescent="0.2">
      <c r="A449" s="205">
        <v>0.68248842592592596</v>
      </c>
      <c r="B449" s="1" t="s">
        <v>993</v>
      </c>
      <c r="C449" s="1">
        <v>84</v>
      </c>
      <c r="D449" s="1" t="s">
        <v>31</v>
      </c>
      <c r="E449" s="1">
        <v>190</v>
      </c>
    </row>
    <row r="450" spans="1:6" x14ac:dyDescent="0.2">
      <c r="A450" s="205">
        <v>0.68251157407407403</v>
      </c>
      <c r="B450" s="1" t="s">
        <v>990</v>
      </c>
      <c r="C450" s="1">
        <v>84</v>
      </c>
      <c r="D450" s="1" t="s">
        <v>31</v>
      </c>
      <c r="E450" s="1">
        <v>200</v>
      </c>
    </row>
    <row r="451" spans="1:6" x14ac:dyDescent="0.2">
      <c r="A451" s="205">
        <v>0.68252314814814818</v>
      </c>
      <c r="B451" s="1" t="s">
        <v>991</v>
      </c>
      <c r="C451" s="1">
        <v>84</v>
      </c>
      <c r="D451" s="1" t="s">
        <v>31</v>
      </c>
      <c r="E451" s="1">
        <v>-210</v>
      </c>
      <c r="F451" s="1">
        <v>600</v>
      </c>
    </row>
    <row r="452" spans="1:6" x14ac:dyDescent="0.2">
      <c r="A452" s="205">
        <v>0.68263888888888891</v>
      </c>
      <c r="B452" s="1" t="s">
        <v>974</v>
      </c>
      <c r="C452" s="1">
        <v>47</v>
      </c>
      <c r="D452" s="1" t="s">
        <v>31</v>
      </c>
      <c r="E452" s="1">
        <v>110</v>
      </c>
    </row>
    <row r="453" spans="1:6" x14ac:dyDescent="0.2">
      <c r="A453" s="205">
        <v>0.68265046296296295</v>
      </c>
      <c r="B453" s="1" t="s">
        <v>978</v>
      </c>
      <c r="C453" s="1">
        <v>47</v>
      </c>
      <c r="D453" s="1" t="s">
        <v>31</v>
      </c>
      <c r="E453" s="1">
        <v>-120</v>
      </c>
      <c r="F453" s="1">
        <v>330</v>
      </c>
    </row>
    <row r="454" spans="1:6" x14ac:dyDescent="0.2">
      <c r="A454" s="205">
        <v>0.68276620370370367</v>
      </c>
      <c r="B454" s="1" t="s">
        <v>980</v>
      </c>
      <c r="C454" s="1">
        <v>52</v>
      </c>
      <c r="D454" s="1" t="s">
        <v>31</v>
      </c>
      <c r="E454" s="1">
        <v>-130</v>
      </c>
      <c r="F454" s="1">
        <v>360</v>
      </c>
    </row>
    <row r="455" spans="1:6" x14ac:dyDescent="0.2">
      <c r="A455" s="205">
        <v>0.68320601851851848</v>
      </c>
      <c r="B455" s="1" t="s">
        <v>974</v>
      </c>
      <c r="C455" s="1">
        <v>47</v>
      </c>
      <c r="D455" s="1" t="s">
        <v>27</v>
      </c>
      <c r="E455" s="1">
        <v>-100</v>
      </c>
      <c r="F455" s="1">
        <v>310</v>
      </c>
    </row>
    <row r="456" spans="1:6" x14ac:dyDescent="0.2">
      <c r="A456" s="205">
        <v>0.68361111111111106</v>
      </c>
      <c r="B456" s="1" t="s">
        <v>978</v>
      </c>
      <c r="C456" s="1">
        <v>47</v>
      </c>
      <c r="D456" s="1" t="s">
        <v>27</v>
      </c>
      <c r="E456" s="1">
        <v>-110</v>
      </c>
    </row>
    <row r="457" spans="1:6" x14ac:dyDescent="0.2">
      <c r="A457" s="205">
        <v>0.68475694444444446</v>
      </c>
      <c r="B457" s="1" t="s">
        <v>980</v>
      </c>
      <c r="C457" s="1">
        <v>52</v>
      </c>
      <c r="D457" s="1" t="s">
        <v>27</v>
      </c>
      <c r="E457" s="1">
        <v>-120</v>
      </c>
    </row>
    <row r="458" spans="1:6" x14ac:dyDescent="0.2">
      <c r="A458" s="205">
        <v>0.73295138888888889</v>
      </c>
      <c r="B458" s="1" t="s">
        <v>982</v>
      </c>
      <c r="C458" s="1">
        <v>57</v>
      </c>
      <c r="D458" s="1" t="s">
        <v>27</v>
      </c>
      <c r="E458" s="1">
        <v>130</v>
      </c>
    </row>
    <row r="459" spans="1:6" x14ac:dyDescent="0.2">
      <c r="A459" s="205">
        <v>0.73296296296296293</v>
      </c>
      <c r="B459" s="1" t="s">
        <v>987</v>
      </c>
      <c r="C459" s="1">
        <v>72</v>
      </c>
      <c r="D459" s="1" t="s">
        <v>27</v>
      </c>
      <c r="E459" s="1">
        <v>-140</v>
      </c>
      <c r="F459" s="1">
        <v>430</v>
      </c>
    </row>
    <row r="460" spans="1:6" x14ac:dyDescent="0.2">
      <c r="A460" s="205">
        <v>0.73298611111111101</v>
      </c>
      <c r="B460" s="1" t="s">
        <v>984</v>
      </c>
      <c r="C460" s="1">
        <v>63</v>
      </c>
      <c r="D460" s="1" t="s">
        <v>27</v>
      </c>
      <c r="E460" s="1">
        <v>150</v>
      </c>
    </row>
    <row r="461" spans="1:6" x14ac:dyDescent="0.2">
      <c r="A461" s="205">
        <v>0.7330092592592593</v>
      </c>
      <c r="B461" s="1" t="s">
        <v>994</v>
      </c>
      <c r="C461" s="1">
        <v>57</v>
      </c>
      <c r="D461" s="1" t="s">
        <v>27</v>
      </c>
      <c r="E461" s="1">
        <v>-160</v>
      </c>
      <c r="F461" s="1">
        <v>490</v>
      </c>
    </row>
    <row r="462" spans="1:6" x14ac:dyDescent="0.2">
      <c r="A462" s="205">
        <v>0.73307870370370365</v>
      </c>
      <c r="B462" s="1" t="s">
        <v>974</v>
      </c>
      <c r="C462" s="1">
        <v>47</v>
      </c>
      <c r="D462" s="1" t="s">
        <v>31</v>
      </c>
      <c r="E462" s="1">
        <v>110</v>
      </c>
    </row>
    <row r="463" spans="1:6" x14ac:dyDescent="0.2">
      <c r="A463" s="205">
        <v>0.73310185185185184</v>
      </c>
      <c r="B463" s="1" t="s">
        <v>978</v>
      </c>
      <c r="C463" s="1">
        <v>47</v>
      </c>
      <c r="D463" s="1" t="s">
        <v>31</v>
      </c>
      <c r="E463" s="1">
        <v>-120</v>
      </c>
    </row>
    <row r="464" spans="1:6" x14ac:dyDescent="0.2">
      <c r="A464" s="205">
        <v>0.73311342592592599</v>
      </c>
      <c r="B464" s="1" t="s">
        <v>980</v>
      </c>
      <c r="C464" s="1">
        <v>52</v>
      </c>
      <c r="D464" s="1" t="s">
        <v>31</v>
      </c>
      <c r="E464" s="1">
        <v>130</v>
      </c>
    </row>
    <row r="465" spans="1:6" x14ac:dyDescent="0.2">
      <c r="A465" s="205">
        <v>0.73312499999999992</v>
      </c>
      <c r="B465" s="1" t="s">
        <v>982</v>
      </c>
      <c r="C465" s="1">
        <v>57</v>
      </c>
      <c r="D465" s="1" t="s">
        <v>31</v>
      </c>
      <c r="E465" s="1">
        <v>-140</v>
      </c>
      <c r="F465" s="1">
        <v>390</v>
      </c>
    </row>
    <row r="466" spans="1:6" x14ac:dyDescent="0.2">
      <c r="A466" s="205">
        <v>0.73317129629629629</v>
      </c>
      <c r="B466" s="1" t="s">
        <v>987</v>
      </c>
      <c r="C466" s="1">
        <v>72</v>
      </c>
      <c r="D466" s="1" t="s">
        <v>31</v>
      </c>
      <c r="E466" s="1">
        <v>150</v>
      </c>
    </row>
    <row r="467" spans="1:6" x14ac:dyDescent="0.2">
      <c r="A467" s="205">
        <v>0.73319444444444448</v>
      </c>
      <c r="B467" s="1" t="s">
        <v>984</v>
      </c>
      <c r="C467" s="1">
        <v>63</v>
      </c>
      <c r="D467" s="1" t="s">
        <v>31</v>
      </c>
      <c r="E467" s="1">
        <v>-160</v>
      </c>
      <c r="F467" s="1">
        <v>450</v>
      </c>
    </row>
    <row r="468" spans="1:6" x14ac:dyDescent="0.2">
      <c r="A468" s="205">
        <v>0.73320601851851863</v>
      </c>
      <c r="B468" s="1" t="s">
        <v>994</v>
      </c>
      <c r="C468" s="1">
        <v>57</v>
      </c>
      <c r="D468" s="1" t="s">
        <v>31</v>
      </c>
      <c r="E468" s="1">
        <v>170</v>
      </c>
    </row>
    <row r="469" spans="1:6" x14ac:dyDescent="0.2">
      <c r="A469" s="205">
        <v>0.73322916666666671</v>
      </c>
      <c r="B469" s="1" t="s">
        <v>989</v>
      </c>
      <c r="C469" s="1">
        <v>72</v>
      </c>
      <c r="D469" s="1" t="s">
        <v>31</v>
      </c>
      <c r="E469" s="1">
        <v>-180</v>
      </c>
    </row>
    <row r="470" spans="1:6" x14ac:dyDescent="0.2">
      <c r="A470" s="205">
        <v>0.73550925925925925</v>
      </c>
      <c r="B470" s="1" t="s">
        <v>993</v>
      </c>
      <c r="C470" s="1">
        <v>84</v>
      </c>
      <c r="D470" s="1" t="s">
        <v>31</v>
      </c>
      <c r="E470" s="1">
        <v>190</v>
      </c>
    </row>
    <row r="471" spans="1:6" x14ac:dyDescent="0.2">
      <c r="A471" s="205">
        <v>0.73554398148148137</v>
      </c>
      <c r="B471" s="1" t="s">
        <v>990</v>
      </c>
      <c r="C471" s="1">
        <v>84</v>
      </c>
      <c r="D471" s="1" t="s">
        <v>31</v>
      </c>
      <c r="E471" s="1">
        <v>-200</v>
      </c>
    </row>
    <row r="472" spans="1:6" x14ac:dyDescent="0.2">
      <c r="A472" s="205">
        <v>0.73556712962962967</v>
      </c>
      <c r="B472" s="1" t="s">
        <v>991</v>
      </c>
      <c r="C472" s="1">
        <v>84</v>
      </c>
      <c r="D472" s="1" t="s">
        <v>31</v>
      </c>
      <c r="E472" s="1">
        <v>210</v>
      </c>
    </row>
    <row r="473" spans="1:6" x14ac:dyDescent="0.2">
      <c r="A473" s="205">
        <v>0.73560185185185178</v>
      </c>
      <c r="B473" s="1" t="s">
        <v>991</v>
      </c>
      <c r="C473" s="1">
        <v>84</v>
      </c>
      <c r="D473" s="1" t="s">
        <v>31</v>
      </c>
      <c r="E473" s="1">
        <v>-210</v>
      </c>
      <c r="F473" s="1">
        <v>600</v>
      </c>
    </row>
    <row r="474" spans="1:6" x14ac:dyDescent="0.2">
      <c r="A474" s="205">
        <v>0.73572916666666666</v>
      </c>
      <c r="B474" s="1" t="s">
        <v>974</v>
      </c>
      <c r="C474" s="1">
        <v>47</v>
      </c>
      <c r="D474" s="1" t="s">
        <v>27</v>
      </c>
      <c r="E474" s="1">
        <v>100</v>
      </c>
    </row>
    <row r="475" spans="1:6" x14ac:dyDescent="0.2">
      <c r="A475" s="205">
        <v>0.73577546296296292</v>
      </c>
      <c r="B475" s="1" t="s">
        <v>978</v>
      </c>
      <c r="C475" s="1">
        <v>47</v>
      </c>
      <c r="D475" s="1" t="s">
        <v>27</v>
      </c>
      <c r="E475" s="1">
        <v>-110</v>
      </c>
    </row>
    <row r="476" spans="1:6" x14ac:dyDescent="0.2">
      <c r="A476" s="205">
        <v>0.73581018518518526</v>
      </c>
      <c r="B476" s="1" t="s">
        <v>980</v>
      </c>
      <c r="C476" s="1">
        <v>52</v>
      </c>
      <c r="D476" s="1" t="s">
        <v>27</v>
      </c>
      <c r="E476" s="1">
        <v>120</v>
      </c>
    </row>
    <row r="477" spans="1:6" x14ac:dyDescent="0.2">
      <c r="A477" s="205">
        <v>0.73584490740740749</v>
      </c>
      <c r="B477" s="1" t="s">
        <v>982</v>
      </c>
      <c r="C477" s="1">
        <v>57</v>
      </c>
      <c r="D477" s="1" t="s">
        <v>27</v>
      </c>
      <c r="E477" s="1">
        <v>-130</v>
      </c>
    </row>
    <row r="478" spans="1:6" x14ac:dyDescent="0.2">
      <c r="A478" s="205">
        <v>0.73587962962962961</v>
      </c>
      <c r="B478" s="1" t="s">
        <v>987</v>
      </c>
      <c r="C478" s="1">
        <v>72</v>
      </c>
      <c r="D478" s="1" t="s">
        <v>27</v>
      </c>
      <c r="E478" s="1">
        <v>140</v>
      </c>
    </row>
    <row r="479" spans="1:6" x14ac:dyDescent="0.2">
      <c r="A479" s="205">
        <v>0.73591435185185183</v>
      </c>
      <c r="B479" s="1" t="s">
        <v>984</v>
      </c>
      <c r="C479" s="1">
        <v>63</v>
      </c>
      <c r="D479" s="1" t="s">
        <v>27</v>
      </c>
      <c r="E479" s="1">
        <v>-150</v>
      </c>
    </row>
    <row r="480" spans="1:6" x14ac:dyDescent="0.2">
      <c r="A480" s="205">
        <v>0.7359606481481481</v>
      </c>
      <c r="B480" s="1" t="s">
        <v>994</v>
      </c>
      <c r="C480" s="1">
        <v>57</v>
      </c>
      <c r="D480" s="1" t="s">
        <v>27</v>
      </c>
      <c r="E480" s="1">
        <v>160</v>
      </c>
    </row>
    <row r="481" spans="1:5" x14ac:dyDescent="0.2">
      <c r="A481" s="205">
        <v>0.73599537037037033</v>
      </c>
      <c r="B481" s="1" t="s">
        <v>989</v>
      </c>
      <c r="C481" s="1">
        <v>72</v>
      </c>
      <c r="D481" s="1" t="s">
        <v>27</v>
      </c>
      <c r="E481" s="1">
        <v>170</v>
      </c>
    </row>
    <row r="482" spans="1:5" x14ac:dyDescent="0.2">
      <c r="A482" s="205">
        <v>0.73603009259259267</v>
      </c>
      <c r="B482" s="1" t="s">
        <v>993</v>
      </c>
      <c r="C482" s="1">
        <v>84</v>
      </c>
      <c r="D482" s="1" t="s">
        <v>27</v>
      </c>
      <c r="E482" s="1">
        <v>180</v>
      </c>
    </row>
    <row r="483" spans="1:5" x14ac:dyDescent="0.2">
      <c r="A483" s="205">
        <v>0.73629629629629623</v>
      </c>
      <c r="B483" s="1" t="s">
        <v>974</v>
      </c>
      <c r="C483" s="1">
        <v>47</v>
      </c>
      <c r="D483" s="1" t="s">
        <v>31</v>
      </c>
      <c r="E483" s="1">
        <v>110</v>
      </c>
    </row>
    <row r="484" spans="1:5" x14ac:dyDescent="0.2">
      <c r="A484" s="205">
        <v>0.73633101851851857</v>
      </c>
      <c r="B484" s="1" t="s">
        <v>978</v>
      </c>
      <c r="C484" s="1">
        <v>47</v>
      </c>
      <c r="D484" s="1" t="s">
        <v>31</v>
      </c>
      <c r="E484" s="1">
        <v>120</v>
      </c>
    </row>
    <row r="485" spans="1:5" x14ac:dyDescent="0.2">
      <c r="A485" s="205">
        <v>0.73636574074074079</v>
      </c>
      <c r="B485" s="1" t="s">
        <v>980</v>
      </c>
      <c r="C485" s="1">
        <v>52</v>
      </c>
      <c r="D485" s="1" t="s">
        <v>31</v>
      </c>
      <c r="E485" s="1">
        <v>130</v>
      </c>
    </row>
    <row r="486" spans="1:5" x14ac:dyDescent="0.2">
      <c r="A486" s="205">
        <v>0.73640046296296291</v>
      </c>
      <c r="B486" s="1" t="s">
        <v>982</v>
      </c>
      <c r="C486" s="1">
        <v>57</v>
      </c>
      <c r="D486" s="1" t="s">
        <v>31</v>
      </c>
      <c r="E486" s="1">
        <v>140</v>
      </c>
    </row>
    <row r="487" spans="1:5" x14ac:dyDescent="0.2">
      <c r="A487" s="205">
        <v>0.73643518518518514</v>
      </c>
      <c r="B487" s="1" t="s">
        <v>987</v>
      </c>
      <c r="C487" s="1">
        <v>72</v>
      </c>
      <c r="D487" s="1" t="s">
        <v>31</v>
      </c>
      <c r="E487" s="1">
        <v>150</v>
      </c>
    </row>
    <row r="488" spans="1:5" x14ac:dyDescent="0.2">
      <c r="A488" s="205">
        <v>0.73646990740740748</v>
      </c>
      <c r="B488" s="1" t="s">
        <v>984</v>
      </c>
      <c r="C488" s="1">
        <v>63</v>
      </c>
      <c r="D488" s="1" t="s">
        <v>31</v>
      </c>
      <c r="E488" s="1">
        <v>160</v>
      </c>
    </row>
    <row r="489" spans="1:5" x14ac:dyDescent="0.2">
      <c r="A489" s="205">
        <v>0.73649305555555555</v>
      </c>
      <c r="B489" s="1" t="s">
        <v>994</v>
      </c>
      <c r="C489" s="1">
        <v>57</v>
      </c>
      <c r="D489" s="1" t="s">
        <v>31</v>
      </c>
      <c r="E489" s="1">
        <v>170</v>
      </c>
    </row>
    <row r="490" spans="1:5" x14ac:dyDescent="0.2">
      <c r="A490" s="205">
        <v>0.73652777777777778</v>
      </c>
      <c r="B490" s="1" t="s">
        <v>989</v>
      </c>
      <c r="C490" s="1">
        <v>72</v>
      </c>
      <c r="D490" s="1" t="s">
        <v>31</v>
      </c>
      <c r="E490" s="1">
        <v>180</v>
      </c>
    </row>
    <row r="491" spans="1:5" x14ac:dyDescent="0.2">
      <c r="A491" s="205">
        <v>0.7365624999999999</v>
      </c>
      <c r="B491" s="1" t="s">
        <v>993</v>
      </c>
      <c r="C491" s="1">
        <v>84</v>
      </c>
      <c r="D491" s="1" t="s">
        <v>31</v>
      </c>
      <c r="E491" s="1">
        <v>190</v>
      </c>
    </row>
    <row r="492" spans="1:5" x14ac:dyDescent="0.2">
      <c r="A492" s="205">
        <v>0.7365856481481482</v>
      </c>
      <c r="B492" s="1" t="s">
        <v>990</v>
      </c>
      <c r="C492" s="1">
        <v>84</v>
      </c>
      <c r="D492" s="1" t="s">
        <v>31</v>
      </c>
      <c r="E492" s="1">
        <v>200</v>
      </c>
    </row>
    <row r="493" spans="1:5" x14ac:dyDescent="0.2">
      <c r="A493" s="205">
        <v>0.73662037037037031</v>
      </c>
      <c r="B493" s="1" t="s">
        <v>991</v>
      </c>
      <c r="C493" s="1">
        <v>84</v>
      </c>
      <c r="D493" s="1" t="s">
        <v>31</v>
      </c>
      <c r="E493" s="1">
        <v>210</v>
      </c>
    </row>
    <row r="494" spans="1:5" x14ac:dyDescent="0.2">
      <c r="A494" s="205">
        <v>0.73687499999999995</v>
      </c>
      <c r="B494" s="1" t="s">
        <v>974</v>
      </c>
      <c r="C494" s="1">
        <v>47</v>
      </c>
      <c r="D494" s="1" t="s">
        <v>29</v>
      </c>
      <c r="E494" s="1">
        <v>100</v>
      </c>
    </row>
    <row r="495" spans="1:5" x14ac:dyDescent="0.2">
      <c r="A495" s="205">
        <v>0.73689814814814814</v>
      </c>
      <c r="B495" s="1" t="s">
        <v>978</v>
      </c>
      <c r="C495" s="1">
        <v>47</v>
      </c>
      <c r="D495" s="1" t="s">
        <v>29</v>
      </c>
      <c r="E495" s="1">
        <v>110</v>
      </c>
    </row>
    <row r="496" spans="1:5" x14ac:dyDescent="0.2">
      <c r="A496" s="205">
        <v>0.73693287037037036</v>
      </c>
      <c r="B496" s="1" t="s">
        <v>980</v>
      </c>
      <c r="C496" s="1">
        <v>52</v>
      </c>
      <c r="D496" s="1" t="s">
        <v>29</v>
      </c>
      <c r="E496" s="1">
        <v>-120</v>
      </c>
    </row>
    <row r="497" spans="1:6" x14ac:dyDescent="0.2">
      <c r="A497" s="205">
        <v>0.73696759259259259</v>
      </c>
      <c r="B497" s="1" t="s">
        <v>982</v>
      </c>
      <c r="C497" s="1">
        <v>57</v>
      </c>
      <c r="D497" s="1" t="s">
        <v>29</v>
      </c>
      <c r="E497" s="1">
        <v>130</v>
      </c>
    </row>
    <row r="498" spans="1:6" x14ac:dyDescent="0.2">
      <c r="A498" s="205">
        <v>0.73700231481481471</v>
      </c>
      <c r="B498" s="1" t="s">
        <v>987</v>
      </c>
      <c r="C498" s="1">
        <v>72</v>
      </c>
      <c r="D498" s="1" t="s">
        <v>29</v>
      </c>
      <c r="E498" s="1">
        <v>-140</v>
      </c>
    </row>
    <row r="499" spans="1:6" x14ac:dyDescent="0.2">
      <c r="A499" s="205">
        <v>0.73703703703703705</v>
      </c>
      <c r="B499" s="1" t="s">
        <v>984</v>
      </c>
      <c r="C499" s="1">
        <v>63</v>
      </c>
      <c r="D499" s="1" t="s">
        <v>29</v>
      </c>
      <c r="E499" s="1">
        <v>150</v>
      </c>
    </row>
    <row r="500" spans="1:6" x14ac:dyDescent="0.2">
      <c r="A500" s="205">
        <v>0.73707175925925927</v>
      </c>
      <c r="B500" s="1" t="s">
        <v>994</v>
      </c>
      <c r="C500" s="1">
        <v>57</v>
      </c>
      <c r="D500" s="1" t="s">
        <v>29</v>
      </c>
      <c r="E500" s="1">
        <v>-160</v>
      </c>
    </row>
    <row r="501" spans="1:6" x14ac:dyDescent="0.2">
      <c r="A501" s="205">
        <v>0.73709490740740735</v>
      </c>
      <c r="B501" s="1" t="s">
        <v>989</v>
      </c>
      <c r="C501" s="1">
        <v>72</v>
      </c>
      <c r="D501" s="1" t="s">
        <v>29</v>
      </c>
      <c r="E501" s="1">
        <v>170</v>
      </c>
    </row>
    <row r="502" spans="1:6" x14ac:dyDescent="0.2">
      <c r="A502" s="205">
        <v>0.73712962962962969</v>
      </c>
      <c r="B502" s="1" t="s">
        <v>993</v>
      </c>
      <c r="C502" s="1">
        <v>84</v>
      </c>
      <c r="D502" s="1" t="s">
        <v>29</v>
      </c>
      <c r="E502" s="1">
        <v>180</v>
      </c>
    </row>
    <row r="503" spans="1:6" x14ac:dyDescent="0.2">
      <c r="A503" s="205">
        <v>0.73716435185185192</v>
      </c>
      <c r="B503" s="1" t="s">
        <v>990</v>
      </c>
      <c r="C503" s="1">
        <v>84</v>
      </c>
      <c r="D503" s="1" t="s">
        <v>29</v>
      </c>
      <c r="E503" s="1">
        <v>190</v>
      </c>
    </row>
    <row r="504" spans="1:6" x14ac:dyDescent="0.2">
      <c r="A504" s="205">
        <v>0.73730324074074083</v>
      </c>
      <c r="B504" s="1" t="s">
        <v>974</v>
      </c>
      <c r="C504" s="1">
        <v>47</v>
      </c>
      <c r="D504" s="1" t="s">
        <v>30</v>
      </c>
      <c r="E504" s="1">
        <v>100</v>
      </c>
      <c r="F504" s="1">
        <v>310</v>
      </c>
    </row>
    <row r="505" spans="1:6" x14ac:dyDescent="0.2">
      <c r="A505" s="205">
        <v>0.73732638888888891</v>
      </c>
      <c r="B505" s="1" t="s">
        <v>978</v>
      </c>
      <c r="C505" s="1">
        <v>47</v>
      </c>
      <c r="D505" s="1" t="s">
        <v>30</v>
      </c>
      <c r="E505" s="1">
        <v>110</v>
      </c>
      <c r="F505" s="1">
        <v>340</v>
      </c>
    </row>
    <row r="506" spans="1:6" x14ac:dyDescent="0.2">
      <c r="A506" s="205">
        <v>0.73736111111111102</v>
      </c>
      <c r="B506" s="1" t="s">
        <v>980</v>
      </c>
      <c r="C506" s="1">
        <v>52</v>
      </c>
      <c r="D506" s="1" t="s">
        <v>30</v>
      </c>
      <c r="E506" s="1">
        <v>120</v>
      </c>
    </row>
    <row r="507" spans="1:6" x14ac:dyDescent="0.2">
      <c r="A507" s="205">
        <v>0.73738425925925932</v>
      </c>
      <c r="B507" s="1" t="s">
        <v>982</v>
      </c>
      <c r="C507" s="1">
        <v>57</v>
      </c>
      <c r="D507" s="1" t="s">
        <v>30</v>
      </c>
      <c r="E507" s="1">
        <v>130</v>
      </c>
      <c r="F507" s="1">
        <v>400</v>
      </c>
    </row>
    <row r="508" spans="1:6" x14ac:dyDescent="0.2">
      <c r="A508" s="205">
        <v>0.73741898148148144</v>
      </c>
      <c r="B508" s="1" t="s">
        <v>987</v>
      </c>
      <c r="C508" s="1">
        <v>72</v>
      </c>
      <c r="D508" s="1" t="s">
        <v>30</v>
      </c>
      <c r="E508" s="1">
        <v>140</v>
      </c>
    </row>
    <row r="509" spans="1:6" x14ac:dyDescent="0.2">
      <c r="A509" s="205">
        <v>0.73745370370370367</v>
      </c>
      <c r="B509" s="1" t="s">
        <v>984</v>
      </c>
      <c r="C509" s="1">
        <v>63</v>
      </c>
      <c r="D509" s="1" t="s">
        <v>30</v>
      </c>
      <c r="E509" s="1">
        <v>150</v>
      </c>
      <c r="F509" s="1">
        <v>460</v>
      </c>
    </row>
    <row r="510" spans="1:6" x14ac:dyDescent="0.2">
      <c r="A510" s="205">
        <v>0.73747685185185186</v>
      </c>
      <c r="B510" s="1" t="s">
        <v>994</v>
      </c>
      <c r="C510" s="1">
        <v>57</v>
      </c>
      <c r="D510" s="1" t="s">
        <v>30</v>
      </c>
      <c r="E510" s="1">
        <v>160</v>
      </c>
    </row>
    <row r="511" spans="1:6" x14ac:dyDescent="0.2">
      <c r="A511" s="205">
        <v>0.73751157407407408</v>
      </c>
      <c r="B511" s="1" t="s">
        <v>989</v>
      </c>
      <c r="C511" s="1">
        <v>72</v>
      </c>
      <c r="D511" s="1" t="s">
        <v>30</v>
      </c>
      <c r="E511" s="1">
        <v>-170</v>
      </c>
    </row>
    <row r="512" spans="1:6" x14ac:dyDescent="0.2">
      <c r="A512" s="205">
        <v>0.73754629629629631</v>
      </c>
      <c r="B512" s="1" t="s">
        <v>993</v>
      </c>
      <c r="C512" s="1">
        <v>84</v>
      </c>
      <c r="D512" s="1" t="s">
        <v>30</v>
      </c>
      <c r="E512" s="1">
        <v>180</v>
      </c>
      <c r="F512" s="1">
        <v>550</v>
      </c>
    </row>
    <row r="513" spans="1:6" x14ac:dyDescent="0.2">
      <c r="A513" s="205">
        <v>0.7375694444444445</v>
      </c>
      <c r="B513" s="1" t="s">
        <v>990</v>
      </c>
      <c r="C513" s="1">
        <v>84</v>
      </c>
      <c r="D513" s="1" t="s">
        <v>30</v>
      </c>
      <c r="E513" s="1">
        <v>-190</v>
      </c>
    </row>
    <row r="514" spans="1:6" x14ac:dyDescent="0.2">
      <c r="A514" s="205">
        <v>0.73776620370370372</v>
      </c>
      <c r="B514" s="1" t="s">
        <v>991</v>
      </c>
      <c r="C514" s="1">
        <v>84</v>
      </c>
      <c r="D514" s="1" t="s">
        <v>30</v>
      </c>
      <c r="E514" s="1">
        <v>200</v>
      </c>
    </row>
    <row r="515" spans="1:6" x14ac:dyDescent="0.2">
      <c r="A515" s="205">
        <v>0.73784722222222221</v>
      </c>
      <c r="B515" s="1" t="s">
        <v>989</v>
      </c>
      <c r="C515" s="1">
        <v>72</v>
      </c>
      <c r="D515" s="1" t="s">
        <v>34</v>
      </c>
      <c r="E515" s="1">
        <v>170</v>
      </c>
      <c r="F515" s="1">
        <v>520</v>
      </c>
    </row>
    <row r="516" spans="1:6" x14ac:dyDescent="0.2">
      <c r="A516" s="205">
        <v>0.73788194444444455</v>
      </c>
      <c r="B516" s="1" t="s">
        <v>990</v>
      </c>
      <c r="C516" s="1">
        <v>84</v>
      </c>
      <c r="D516" s="1" t="s">
        <v>34</v>
      </c>
      <c r="E516" s="1">
        <v>190</v>
      </c>
      <c r="F516" s="1">
        <v>580</v>
      </c>
    </row>
    <row r="517" spans="1:6" x14ac:dyDescent="0.2">
      <c r="A517" s="205">
        <v>0.73806712962962961</v>
      </c>
      <c r="B517" s="1" t="s">
        <v>999</v>
      </c>
      <c r="C517" s="1" t="s">
        <v>53</v>
      </c>
      <c r="D517" s="1" t="s">
        <v>30</v>
      </c>
      <c r="E517" s="1">
        <v>210</v>
      </c>
    </row>
    <row r="518" spans="1:6" x14ac:dyDescent="0.2">
      <c r="A518" s="205">
        <v>0.73810185185185195</v>
      </c>
      <c r="B518" s="1" t="s">
        <v>1000</v>
      </c>
      <c r="C518" s="1" t="s">
        <v>53</v>
      </c>
      <c r="D518" s="1" t="s">
        <v>30</v>
      </c>
      <c r="E518" s="1">
        <v>220</v>
      </c>
    </row>
    <row r="519" spans="1:6" x14ac:dyDescent="0.2">
      <c r="A519" s="205">
        <v>0.73812500000000003</v>
      </c>
      <c r="B519" s="1" t="s">
        <v>998</v>
      </c>
      <c r="C519" s="1">
        <v>52</v>
      </c>
      <c r="D519" s="1" t="s">
        <v>30</v>
      </c>
      <c r="E519" s="1">
        <v>230</v>
      </c>
    </row>
    <row r="520" spans="1:6" x14ac:dyDescent="0.2">
      <c r="A520" s="205">
        <v>0.73815972222222215</v>
      </c>
      <c r="B520" s="1" t="s">
        <v>1002</v>
      </c>
      <c r="C520" s="1" t="s">
        <v>53</v>
      </c>
      <c r="D520" s="1" t="s">
        <v>30</v>
      </c>
      <c r="E520" s="1">
        <v>240</v>
      </c>
    </row>
    <row r="521" spans="1:6" x14ac:dyDescent="0.2">
      <c r="A521" s="205">
        <v>0.73818287037037045</v>
      </c>
      <c r="B521" s="1" t="s">
        <v>997</v>
      </c>
      <c r="C521" s="1" t="s">
        <v>53</v>
      </c>
      <c r="D521" s="1" t="s">
        <v>30</v>
      </c>
      <c r="E521" s="1">
        <v>250</v>
      </c>
    </row>
    <row r="522" spans="1:6" x14ac:dyDescent="0.2">
      <c r="A522" s="205">
        <v>0.73821759259259256</v>
      </c>
      <c r="B522" s="1" t="s">
        <v>1003</v>
      </c>
      <c r="C522" s="1" t="s">
        <v>53</v>
      </c>
      <c r="D522" s="1" t="s">
        <v>30</v>
      </c>
      <c r="E522" s="1">
        <v>260</v>
      </c>
    </row>
    <row r="523" spans="1:6" x14ac:dyDescent="0.2">
      <c r="A523" s="205">
        <v>0.73825231481481479</v>
      </c>
      <c r="B523" s="1" t="s">
        <v>1005</v>
      </c>
      <c r="C523" s="1" t="s">
        <v>53</v>
      </c>
      <c r="D523" s="1" t="s">
        <v>30</v>
      </c>
      <c r="E523" s="1">
        <v>270</v>
      </c>
    </row>
    <row r="524" spans="1:6" x14ac:dyDescent="0.2">
      <c r="A524" s="205">
        <v>0.73893518518518519</v>
      </c>
      <c r="B524" s="1" t="s">
        <v>974</v>
      </c>
      <c r="C524" s="1">
        <v>47</v>
      </c>
      <c r="D524" s="1" t="s">
        <v>27</v>
      </c>
      <c r="E524" s="1">
        <v>100</v>
      </c>
    </row>
    <row r="525" spans="1:6" x14ac:dyDescent="0.2">
      <c r="A525" s="205">
        <v>0.73896990740740742</v>
      </c>
      <c r="B525" s="1" t="s">
        <v>978</v>
      </c>
      <c r="C525" s="1">
        <v>47</v>
      </c>
      <c r="D525" s="1" t="s">
        <v>27</v>
      </c>
      <c r="E525" s="1">
        <v>110</v>
      </c>
    </row>
    <row r="526" spans="1:6" x14ac:dyDescent="0.2">
      <c r="A526" s="205">
        <v>0.73900462962962965</v>
      </c>
      <c r="B526" s="1" t="s">
        <v>980</v>
      </c>
      <c r="C526" s="1">
        <v>52</v>
      </c>
      <c r="D526" s="1" t="s">
        <v>27</v>
      </c>
      <c r="E526" s="1">
        <v>-120</v>
      </c>
    </row>
    <row r="527" spans="1:6" x14ac:dyDescent="0.2">
      <c r="A527" s="205">
        <v>0.73903935185185177</v>
      </c>
      <c r="B527" s="1" t="s">
        <v>982</v>
      </c>
      <c r="C527" s="1">
        <v>57</v>
      </c>
      <c r="D527" s="1" t="s">
        <v>27</v>
      </c>
      <c r="E527" s="1">
        <v>130</v>
      </c>
    </row>
    <row r="528" spans="1:6" x14ac:dyDescent="0.2">
      <c r="A528" s="205">
        <v>0.73906250000000007</v>
      </c>
      <c r="B528" s="1" t="s">
        <v>987</v>
      </c>
      <c r="C528" s="1">
        <v>72</v>
      </c>
      <c r="D528" s="1" t="s">
        <v>27</v>
      </c>
      <c r="E528" s="1">
        <v>-140</v>
      </c>
    </row>
    <row r="529" spans="1:5" x14ac:dyDescent="0.2">
      <c r="A529" s="205">
        <v>0.73909722222222218</v>
      </c>
      <c r="B529" s="1" t="s">
        <v>984</v>
      </c>
      <c r="C529" s="1">
        <v>63</v>
      </c>
      <c r="D529" s="1" t="s">
        <v>27</v>
      </c>
      <c r="E529" s="1">
        <v>150</v>
      </c>
    </row>
    <row r="530" spans="1:5" x14ac:dyDescent="0.2">
      <c r="A530" s="205">
        <v>0.73913194444444441</v>
      </c>
      <c r="B530" s="1" t="s">
        <v>994</v>
      </c>
      <c r="C530" s="1">
        <v>57</v>
      </c>
      <c r="D530" s="1" t="s">
        <v>27</v>
      </c>
      <c r="E530" s="1">
        <v>-160</v>
      </c>
    </row>
    <row r="531" spans="1:5" x14ac:dyDescent="0.2">
      <c r="A531" s="205">
        <v>0.7391550925925926</v>
      </c>
      <c r="B531" s="1" t="s">
        <v>989</v>
      </c>
      <c r="C531" s="1">
        <v>72</v>
      </c>
      <c r="D531" s="1" t="s">
        <v>27</v>
      </c>
      <c r="E531" s="1">
        <v>170</v>
      </c>
    </row>
    <row r="532" spans="1:5" x14ac:dyDescent="0.2">
      <c r="A532" s="205">
        <v>0.73918981481481483</v>
      </c>
      <c r="B532" s="1" t="s">
        <v>993</v>
      </c>
      <c r="C532" s="1">
        <v>84</v>
      </c>
      <c r="D532" s="1" t="s">
        <v>27</v>
      </c>
      <c r="E532" s="1">
        <v>-180</v>
      </c>
    </row>
    <row r="533" spans="1:5" x14ac:dyDescent="0.2">
      <c r="A533" s="205">
        <v>0.73922453703703705</v>
      </c>
      <c r="B533" s="1" t="s">
        <v>990</v>
      </c>
      <c r="C533" s="1">
        <v>84</v>
      </c>
      <c r="D533" s="1" t="s">
        <v>27</v>
      </c>
      <c r="E533" s="1">
        <v>190</v>
      </c>
    </row>
    <row r="534" spans="1:5" x14ac:dyDescent="0.2">
      <c r="A534" s="205">
        <v>0.73925925925925917</v>
      </c>
      <c r="B534" s="1" t="s">
        <v>991</v>
      </c>
      <c r="C534" s="1">
        <v>84</v>
      </c>
      <c r="D534" s="1" t="s">
        <v>27</v>
      </c>
      <c r="E534" s="1">
        <v>200</v>
      </c>
    </row>
    <row r="535" spans="1:5" x14ac:dyDescent="0.2">
      <c r="A535" s="205">
        <v>0.73929398148148151</v>
      </c>
      <c r="B535" s="1" t="s">
        <v>991</v>
      </c>
      <c r="C535" s="1">
        <v>84</v>
      </c>
      <c r="D535" s="1" t="s">
        <v>27</v>
      </c>
      <c r="E535" s="1">
        <v>200</v>
      </c>
    </row>
    <row r="536" spans="1:5" x14ac:dyDescent="0.2">
      <c r="A536" s="205">
        <v>0.73960648148148145</v>
      </c>
      <c r="B536" s="1" t="s">
        <v>974</v>
      </c>
      <c r="C536" s="1">
        <v>47</v>
      </c>
      <c r="D536" s="1" t="s">
        <v>29</v>
      </c>
      <c r="E536" s="1">
        <v>100</v>
      </c>
    </row>
    <row r="537" spans="1:5" x14ac:dyDescent="0.2">
      <c r="A537" s="205">
        <v>0.73964120370370379</v>
      </c>
      <c r="B537" s="1" t="s">
        <v>978</v>
      </c>
      <c r="C537" s="1">
        <v>47</v>
      </c>
      <c r="D537" s="1" t="s">
        <v>29</v>
      </c>
      <c r="E537" s="1">
        <v>110</v>
      </c>
    </row>
    <row r="538" spans="1:5" x14ac:dyDescent="0.2">
      <c r="A538" s="205">
        <v>0.73966435185185186</v>
      </c>
      <c r="B538" s="1" t="s">
        <v>980</v>
      </c>
      <c r="C538" s="1">
        <v>52</v>
      </c>
      <c r="D538" s="1" t="s">
        <v>29</v>
      </c>
      <c r="E538" s="1">
        <v>120</v>
      </c>
    </row>
    <row r="539" spans="1:5" x14ac:dyDescent="0.2">
      <c r="A539" s="205">
        <v>0.73969907407407398</v>
      </c>
      <c r="B539" s="1" t="s">
        <v>982</v>
      </c>
      <c r="C539" s="1">
        <v>57</v>
      </c>
      <c r="D539" s="1" t="s">
        <v>29</v>
      </c>
      <c r="E539" s="1">
        <v>130</v>
      </c>
    </row>
    <row r="540" spans="1:5" x14ac:dyDescent="0.2">
      <c r="A540" s="205">
        <v>0.73973379629629632</v>
      </c>
      <c r="B540" s="1" t="s">
        <v>987</v>
      </c>
      <c r="C540" s="1">
        <v>72</v>
      </c>
      <c r="D540" s="1" t="s">
        <v>29</v>
      </c>
      <c r="E540" s="1">
        <v>140</v>
      </c>
    </row>
    <row r="541" spans="1:5" x14ac:dyDescent="0.2">
      <c r="A541" s="205">
        <v>0.73976851851851855</v>
      </c>
      <c r="B541" s="1" t="s">
        <v>984</v>
      </c>
      <c r="C541" s="1">
        <v>63</v>
      </c>
      <c r="D541" s="1" t="s">
        <v>29</v>
      </c>
      <c r="E541" s="1">
        <v>150</v>
      </c>
    </row>
    <row r="542" spans="1:5" x14ac:dyDescent="0.2">
      <c r="A542" s="205">
        <v>0.73980324074074078</v>
      </c>
      <c r="B542" s="1" t="s">
        <v>994</v>
      </c>
      <c r="C542" s="1">
        <v>57</v>
      </c>
      <c r="D542" s="1" t="s">
        <v>29</v>
      </c>
      <c r="E542" s="1">
        <v>160</v>
      </c>
    </row>
    <row r="543" spans="1:5" x14ac:dyDescent="0.2">
      <c r="A543" s="205">
        <v>0.73983796296296289</v>
      </c>
      <c r="B543" s="1" t="s">
        <v>989</v>
      </c>
      <c r="C543" s="1">
        <v>72</v>
      </c>
      <c r="D543" s="1" t="s">
        <v>29</v>
      </c>
      <c r="E543" s="1">
        <v>170</v>
      </c>
    </row>
    <row r="544" spans="1:5" x14ac:dyDescent="0.2">
      <c r="A544" s="205">
        <v>0.73986111111111119</v>
      </c>
      <c r="B544" s="1" t="s">
        <v>993</v>
      </c>
      <c r="C544" s="1">
        <v>84</v>
      </c>
      <c r="D544" s="1" t="s">
        <v>29</v>
      </c>
      <c r="E544" s="1">
        <v>180</v>
      </c>
    </row>
    <row r="545" spans="1:6" x14ac:dyDescent="0.2">
      <c r="A545" s="205">
        <v>0.73989583333333331</v>
      </c>
      <c r="B545" s="1" t="s">
        <v>990</v>
      </c>
      <c r="C545" s="1">
        <v>84</v>
      </c>
      <c r="D545" s="1" t="s">
        <v>29</v>
      </c>
      <c r="E545" s="1">
        <v>190</v>
      </c>
    </row>
    <row r="546" spans="1:6" x14ac:dyDescent="0.2">
      <c r="A546" s="205">
        <v>0.73993055555555554</v>
      </c>
      <c r="B546" s="1" t="s">
        <v>991</v>
      </c>
      <c r="C546" s="1">
        <v>84</v>
      </c>
      <c r="D546" s="1" t="s">
        <v>29</v>
      </c>
      <c r="E546" s="1">
        <v>200</v>
      </c>
    </row>
    <row r="547" spans="1:6" x14ac:dyDescent="0.2">
      <c r="A547" s="205">
        <v>0.74002314814814818</v>
      </c>
      <c r="B547" s="1" t="s">
        <v>974</v>
      </c>
      <c r="C547" s="1">
        <v>47</v>
      </c>
      <c r="D547" s="1" t="s">
        <v>30</v>
      </c>
      <c r="E547" s="1">
        <v>100</v>
      </c>
      <c r="F547" s="1">
        <v>300</v>
      </c>
    </row>
    <row r="548" spans="1:6" x14ac:dyDescent="0.2">
      <c r="A548" s="205">
        <v>0.7400578703703703</v>
      </c>
      <c r="B548" s="1" t="s">
        <v>978</v>
      </c>
      <c r="C548" s="1">
        <v>47</v>
      </c>
      <c r="D548" s="1" t="s">
        <v>30</v>
      </c>
      <c r="E548" s="1">
        <v>110</v>
      </c>
      <c r="F548" s="1">
        <v>330</v>
      </c>
    </row>
    <row r="549" spans="1:6" x14ac:dyDescent="0.2">
      <c r="A549" s="205">
        <v>0.74009259259259252</v>
      </c>
      <c r="B549" s="1" t="s">
        <v>980</v>
      </c>
      <c r="C549" s="1">
        <v>52</v>
      </c>
      <c r="D549" s="1" t="s">
        <v>30</v>
      </c>
      <c r="E549" s="1">
        <v>120</v>
      </c>
    </row>
    <row r="550" spans="1:6" x14ac:dyDescent="0.2">
      <c r="A550" s="205">
        <v>0.74012731481481486</v>
      </c>
      <c r="B550" s="1" t="s">
        <v>982</v>
      </c>
      <c r="C550" s="1">
        <v>57</v>
      </c>
      <c r="D550" s="1" t="s">
        <v>30</v>
      </c>
      <c r="E550" s="1">
        <v>130</v>
      </c>
      <c r="F550" s="1">
        <v>390</v>
      </c>
    </row>
    <row r="551" spans="1:6" x14ac:dyDescent="0.2">
      <c r="A551" s="205">
        <v>0.74015046296296294</v>
      </c>
      <c r="B551" s="1" t="s">
        <v>987</v>
      </c>
      <c r="C551" s="1">
        <v>72</v>
      </c>
      <c r="D551" s="1" t="s">
        <v>30</v>
      </c>
      <c r="E551" s="1">
        <v>140</v>
      </c>
    </row>
    <row r="552" spans="1:6" x14ac:dyDescent="0.2">
      <c r="A552" s="205">
        <v>0.74018518518518517</v>
      </c>
      <c r="B552" s="1" t="s">
        <v>984</v>
      </c>
      <c r="C552" s="1">
        <v>63</v>
      </c>
      <c r="D552" s="1" t="s">
        <v>30</v>
      </c>
      <c r="E552" s="1">
        <v>150</v>
      </c>
      <c r="F552" s="1">
        <v>450</v>
      </c>
    </row>
    <row r="553" spans="1:6" x14ac:dyDescent="0.2">
      <c r="A553" s="205">
        <v>0.74021990740740751</v>
      </c>
      <c r="B553" s="1" t="s">
        <v>994</v>
      </c>
      <c r="C553" s="1">
        <v>57</v>
      </c>
      <c r="D553" s="1" t="s">
        <v>30</v>
      </c>
      <c r="E553" s="1">
        <v>160</v>
      </c>
    </row>
    <row r="554" spans="1:6" x14ac:dyDescent="0.2">
      <c r="A554" s="205">
        <v>0.7408217592592593</v>
      </c>
      <c r="B554" s="1" t="s">
        <v>989</v>
      </c>
      <c r="C554" s="1">
        <v>72</v>
      </c>
      <c r="D554" s="1" t="s">
        <v>30</v>
      </c>
      <c r="E554" s="1">
        <v>170</v>
      </c>
      <c r="F554" s="1">
        <v>510</v>
      </c>
    </row>
    <row r="555" spans="1:6" x14ac:dyDescent="0.2">
      <c r="A555" s="205">
        <v>0.74085648148148142</v>
      </c>
      <c r="B555" s="1" t="s">
        <v>993</v>
      </c>
      <c r="C555" s="1">
        <v>84</v>
      </c>
      <c r="D555" s="1" t="s">
        <v>30</v>
      </c>
      <c r="E555" s="1">
        <v>180</v>
      </c>
    </row>
    <row r="556" spans="1:6" x14ac:dyDescent="0.2">
      <c r="A556" s="205">
        <v>0.74089120370370365</v>
      </c>
      <c r="B556" s="1" t="s">
        <v>990</v>
      </c>
      <c r="C556" s="1">
        <v>84</v>
      </c>
      <c r="D556" s="1" t="s">
        <v>30</v>
      </c>
      <c r="E556" s="1">
        <v>-190</v>
      </c>
    </row>
    <row r="557" spans="1:6" x14ac:dyDescent="0.2">
      <c r="A557" s="205">
        <v>0.74091435185185184</v>
      </c>
      <c r="B557" s="1" t="s">
        <v>991</v>
      </c>
      <c r="C557" s="1">
        <v>84</v>
      </c>
      <c r="D557" s="1" t="s">
        <v>30</v>
      </c>
      <c r="E557" s="1">
        <v>200</v>
      </c>
      <c r="F557" s="1">
        <v>600</v>
      </c>
    </row>
    <row r="558" spans="1:6" x14ac:dyDescent="0.2">
      <c r="A558" s="205">
        <v>0.75916666666666666</v>
      </c>
      <c r="B558" s="1" t="s">
        <v>974</v>
      </c>
      <c r="C558" s="1">
        <v>47</v>
      </c>
      <c r="D558" s="1" t="s">
        <v>29</v>
      </c>
      <c r="E558" s="1">
        <v>-100</v>
      </c>
    </row>
    <row r="559" spans="1:6" x14ac:dyDescent="0.2">
      <c r="A559" s="205">
        <v>0.75918981481481485</v>
      </c>
      <c r="B559" s="1" t="s">
        <v>978</v>
      </c>
      <c r="C559" s="1">
        <v>47</v>
      </c>
      <c r="D559" s="1" t="s">
        <v>29</v>
      </c>
      <c r="E559" s="1">
        <v>110</v>
      </c>
      <c r="F559" s="1">
        <v>330</v>
      </c>
    </row>
    <row r="560" spans="1:6" x14ac:dyDescent="0.2">
      <c r="A560" s="205">
        <v>0.75920138888888899</v>
      </c>
      <c r="B560" s="1" t="s">
        <v>980</v>
      </c>
      <c r="C560" s="1">
        <v>52</v>
      </c>
      <c r="D560" s="1" t="s">
        <v>29</v>
      </c>
      <c r="E560" s="1">
        <v>-120</v>
      </c>
    </row>
    <row r="561" spans="1:6" x14ac:dyDescent="0.2">
      <c r="A561" s="205">
        <v>0.75922453703703707</v>
      </c>
      <c r="B561" s="1" t="s">
        <v>982</v>
      </c>
      <c r="C561" s="1">
        <v>57</v>
      </c>
      <c r="D561" s="1" t="s">
        <v>29</v>
      </c>
      <c r="E561" s="1">
        <v>130</v>
      </c>
      <c r="F561" s="1">
        <v>390</v>
      </c>
    </row>
    <row r="562" spans="1:6" x14ac:dyDescent="0.2">
      <c r="A562" s="205">
        <v>0.75923611111111111</v>
      </c>
      <c r="B562" s="1" t="s">
        <v>987</v>
      </c>
      <c r="C562" s="1">
        <v>72</v>
      </c>
      <c r="D562" s="1" t="s">
        <v>29</v>
      </c>
      <c r="E562" s="1">
        <v>-140</v>
      </c>
    </row>
    <row r="563" spans="1:6" x14ac:dyDescent="0.2">
      <c r="A563" s="205">
        <v>0.75924768518518515</v>
      </c>
      <c r="B563" s="1" t="s">
        <v>984</v>
      </c>
      <c r="C563" s="1">
        <v>63</v>
      </c>
      <c r="D563" s="1" t="s">
        <v>29</v>
      </c>
      <c r="E563" s="1">
        <v>150</v>
      </c>
      <c r="F563" s="1">
        <v>450</v>
      </c>
    </row>
    <row r="564" spans="1:6" x14ac:dyDescent="0.2">
      <c r="A564" s="205">
        <v>0.75927083333333334</v>
      </c>
      <c r="B564" s="1" t="s">
        <v>994</v>
      </c>
      <c r="C564" s="1">
        <v>57</v>
      </c>
      <c r="D564" s="1" t="s">
        <v>29</v>
      </c>
      <c r="E564" s="1">
        <v>-160</v>
      </c>
    </row>
    <row r="565" spans="1:6" x14ac:dyDescent="0.2">
      <c r="A565" s="205">
        <v>0.75929398148148142</v>
      </c>
      <c r="B565" s="1" t="s">
        <v>989</v>
      </c>
      <c r="C565" s="1">
        <v>72</v>
      </c>
      <c r="D565" s="1" t="s">
        <v>29</v>
      </c>
      <c r="E565" s="1">
        <v>170</v>
      </c>
      <c r="F565" s="1">
        <v>510</v>
      </c>
    </row>
    <row r="566" spans="1:6" x14ac:dyDescent="0.2">
      <c r="A566" s="205">
        <v>0.75930555555555557</v>
      </c>
      <c r="B566" s="1" t="s">
        <v>993</v>
      </c>
      <c r="C566" s="1">
        <v>84</v>
      </c>
      <c r="D566" s="1" t="s">
        <v>29</v>
      </c>
      <c r="E566" s="1">
        <v>-180</v>
      </c>
    </row>
    <row r="567" spans="1:6" x14ac:dyDescent="0.2">
      <c r="A567" s="205">
        <v>0.75931712962962961</v>
      </c>
      <c r="B567" s="1" t="s">
        <v>990</v>
      </c>
      <c r="C567" s="1">
        <v>84</v>
      </c>
      <c r="D567" s="1" t="s">
        <v>29</v>
      </c>
      <c r="E567" s="1">
        <v>190</v>
      </c>
    </row>
    <row r="568" spans="1:6" x14ac:dyDescent="0.2">
      <c r="A568" s="205">
        <v>0.75934027777777768</v>
      </c>
      <c r="B568" s="1" t="s">
        <v>991</v>
      </c>
      <c r="C568" s="1">
        <v>84</v>
      </c>
      <c r="D568" s="1" t="s">
        <v>29</v>
      </c>
      <c r="E568" s="1">
        <v>200</v>
      </c>
      <c r="F568" s="1">
        <v>600</v>
      </c>
    </row>
    <row r="569" spans="1:6" x14ac:dyDescent="0.2">
      <c r="A569" s="205">
        <v>0.75965277777777773</v>
      </c>
      <c r="B569" s="1" t="s">
        <v>974</v>
      </c>
      <c r="C569" s="1">
        <v>47</v>
      </c>
      <c r="D569" s="1" t="s">
        <v>33</v>
      </c>
      <c r="E569" s="1">
        <v>-120</v>
      </c>
    </row>
    <row r="570" spans="1:6" x14ac:dyDescent="0.2">
      <c r="A570" s="205">
        <v>0.75967592592592592</v>
      </c>
      <c r="B570" s="1" t="s">
        <v>978</v>
      </c>
      <c r="C570" s="1">
        <v>47</v>
      </c>
      <c r="D570" s="1" t="s">
        <v>33</v>
      </c>
      <c r="E570" s="1">
        <v>130</v>
      </c>
      <c r="F570" s="1">
        <v>350</v>
      </c>
    </row>
    <row r="571" spans="1:6" x14ac:dyDescent="0.2">
      <c r="A571" s="205">
        <v>0.75968750000000007</v>
      </c>
      <c r="B571" s="1" t="s">
        <v>980</v>
      </c>
      <c r="C571" s="1">
        <v>52</v>
      </c>
      <c r="D571" s="1" t="s">
        <v>33</v>
      </c>
      <c r="E571" s="1">
        <v>140</v>
      </c>
    </row>
    <row r="572" spans="1:6" x14ac:dyDescent="0.2">
      <c r="A572" s="205">
        <v>0.759699074074074</v>
      </c>
      <c r="B572" s="1" t="s">
        <v>982</v>
      </c>
      <c r="C572" s="1">
        <v>57</v>
      </c>
      <c r="D572" s="1" t="s">
        <v>33</v>
      </c>
      <c r="E572" s="1">
        <v>150</v>
      </c>
      <c r="F572" s="1">
        <v>410</v>
      </c>
    </row>
    <row r="573" spans="1:6" x14ac:dyDescent="0.2">
      <c r="A573" s="205">
        <v>0.75971064814814815</v>
      </c>
      <c r="B573" s="1" t="s">
        <v>987</v>
      </c>
      <c r="C573" s="1">
        <v>72</v>
      </c>
      <c r="D573" s="1" t="s">
        <v>33</v>
      </c>
      <c r="E573" s="1">
        <v>-160</v>
      </c>
    </row>
    <row r="574" spans="1:6" x14ac:dyDescent="0.2">
      <c r="A574" s="205">
        <v>0.75973379629629623</v>
      </c>
      <c r="B574" s="1" t="s">
        <v>984</v>
      </c>
      <c r="C574" s="1">
        <v>63</v>
      </c>
      <c r="D574" s="1" t="s">
        <v>33</v>
      </c>
      <c r="E574" s="1">
        <v>170</v>
      </c>
      <c r="F574" s="1">
        <v>470</v>
      </c>
    </row>
    <row r="575" spans="1:6" x14ac:dyDescent="0.2">
      <c r="A575" s="205">
        <v>0.75974537037037038</v>
      </c>
      <c r="B575" s="1" t="s">
        <v>994</v>
      </c>
      <c r="C575" s="1">
        <v>57</v>
      </c>
      <c r="D575" s="1" t="s">
        <v>33</v>
      </c>
      <c r="E575" s="1">
        <v>180</v>
      </c>
    </row>
    <row r="576" spans="1:6" x14ac:dyDescent="0.2">
      <c r="A576" s="205">
        <v>0.75975694444444442</v>
      </c>
      <c r="B576" s="1" t="s">
        <v>989</v>
      </c>
      <c r="C576" s="1">
        <v>72</v>
      </c>
      <c r="D576" s="1" t="s">
        <v>33</v>
      </c>
      <c r="E576" s="1">
        <v>190</v>
      </c>
      <c r="F576" s="1">
        <v>530</v>
      </c>
    </row>
    <row r="577" spans="1:6" x14ac:dyDescent="0.2">
      <c r="A577" s="205">
        <v>0.76859953703703709</v>
      </c>
      <c r="B577" s="1" t="s">
        <v>993</v>
      </c>
      <c r="C577" s="1">
        <v>84</v>
      </c>
      <c r="D577" s="1" t="s">
        <v>33</v>
      </c>
      <c r="E577" s="1">
        <v>200</v>
      </c>
    </row>
    <row r="578" spans="1:6" x14ac:dyDescent="0.2">
      <c r="A578" s="205">
        <v>0.76861111111111102</v>
      </c>
      <c r="B578" s="1" t="s">
        <v>990</v>
      </c>
      <c r="C578" s="1">
        <v>84</v>
      </c>
      <c r="D578" s="1" t="s">
        <v>33</v>
      </c>
      <c r="E578" s="1">
        <v>-210</v>
      </c>
    </row>
    <row r="579" spans="1:6" x14ac:dyDescent="0.2">
      <c r="A579" s="205">
        <v>0.76863425925925932</v>
      </c>
      <c r="B579" s="1" t="s">
        <v>991</v>
      </c>
      <c r="C579" s="1">
        <v>84</v>
      </c>
      <c r="D579" s="1" t="s">
        <v>33</v>
      </c>
      <c r="E579" s="1">
        <v>220</v>
      </c>
      <c r="F579" s="1">
        <v>620</v>
      </c>
    </row>
    <row r="580" spans="1:6" x14ac:dyDescent="0.2">
      <c r="A580" s="205">
        <v>0.76870370370370367</v>
      </c>
      <c r="B580" s="1" t="s">
        <v>974</v>
      </c>
      <c r="C580" s="1">
        <v>47</v>
      </c>
      <c r="D580" s="1" t="s">
        <v>30</v>
      </c>
      <c r="E580" s="1">
        <v>100</v>
      </c>
    </row>
    <row r="581" spans="1:6" x14ac:dyDescent="0.2">
      <c r="A581" s="205">
        <v>0.76872685185185186</v>
      </c>
      <c r="B581" s="1" t="s">
        <v>978</v>
      </c>
      <c r="C581" s="1">
        <v>47</v>
      </c>
      <c r="D581" s="1" t="s">
        <v>30</v>
      </c>
      <c r="E581" s="1">
        <v>-110</v>
      </c>
    </row>
    <row r="582" spans="1:6" x14ac:dyDescent="0.2">
      <c r="A582" s="205">
        <v>0.76873842592592589</v>
      </c>
      <c r="B582" s="1" t="s">
        <v>980</v>
      </c>
      <c r="C582" s="1">
        <v>52</v>
      </c>
      <c r="D582" s="1" t="s">
        <v>30</v>
      </c>
      <c r="E582" s="1">
        <v>120</v>
      </c>
    </row>
    <row r="583" spans="1:6" x14ac:dyDescent="0.2">
      <c r="A583" s="205">
        <v>0.76874999999999993</v>
      </c>
      <c r="B583" s="1" t="s">
        <v>982</v>
      </c>
      <c r="C583" s="1">
        <v>57</v>
      </c>
      <c r="D583" s="1" t="s">
        <v>30</v>
      </c>
      <c r="E583" s="1">
        <v>-130</v>
      </c>
    </row>
    <row r="584" spans="1:6" x14ac:dyDescent="0.2">
      <c r="A584" s="205">
        <v>0.76876157407407408</v>
      </c>
      <c r="B584" s="1" t="s">
        <v>987</v>
      </c>
      <c r="C584" s="1">
        <v>72</v>
      </c>
      <c r="D584" s="1" t="s">
        <v>30</v>
      </c>
      <c r="E584" s="1">
        <v>140</v>
      </c>
    </row>
    <row r="585" spans="1:6" x14ac:dyDescent="0.2">
      <c r="A585" s="205">
        <v>0.76877314814814823</v>
      </c>
      <c r="B585" s="1" t="s">
        <v>984</v>
      </c>
      <c r="C585" s="1">
        <v>63</v>
      </c>
      <c r="D585" s="1" t="s">
        <v>30</v>
      </c>
      <c r="E585" s="1">
        <v>150</v>
      </c>
      <c r="F585" s="1">
        <v>470</v>
      </c>
    </row>
    <row r="586" spans="1:6" x14ac:dyDescent="0.2">
      <c r="A586" s="205">
        <v>0.76879629629629631</v>
      </c>
      <c r="B586" s="1" t="s">
        <v>994</v>
      </c>
      <c r="C586" s="1">
        <v>57</v>
      </c>
      <c r="D586" s="1" t="s">
        <v>30</v>
      </c>
      <c r="E586" s="1">
        <v>-160</v>
      </c>
    </row>
    <row r="587" spans="1:6" x14ac:dyDescent="0.2">
      <c r="A587" s="205">
        <v>0.76880787037037035</v>
      </c>
      <c r="B587" s="1" t="s">
        <v>989</v>
      </c>
      <c r="C587" s="1">
        <v>72</v>
      </c>
      <c r="D587" s="1" t="s">
        <v>30</v>
      </c>
      <c r="E587" s="1">
        <v>-170</v>
      </c>
    </row>
    <row r="588" spans="1:6" x14ac:dyDescent="0.2">
      <c r="A588" s="205">
        <v>0.7688194444444445</v>
      </c>
      <c r="B588" s="1" t="s">
        <v>993</v>
      </c>
      <c r="C588" s="1">
        <v>84</v>
      </c>
      <c r="D588" s="1" t="s">
        <v>30</v>
      </c>
      <c r="E588" s="1">
        <v>-180</v>
      </c>
    </row>
    <row r="589" spans="1:6" x14ac:dyDescent="0.2">
      <c r="A589" s="205">
        <v>0.76883101851851843</v>
      </c>
      <c r="B589" s="1" t="s">
        <v>990</v>
      </c>
      <c r="C589" s="1">
        <v>84</v>
      </c>
      <c r="D589" s="1" t="s">
        <v>30</v>
      </c>
      <c r="E589" s="1">
        <v>-190</v>
      </c>
    </row>
    <row r="590" spans="1:6" x14ac:dyDescent="0.2">
      <c r="A590" s="205">
        <v>0.76884259259259258</v>
      </c>
      <c r="B590" s="1" t="s">
        <v>991</v>
      </c>
      <c r="C590" s="1">
        <v>84</v>
      </c>
      <c r="D590" s="1" t="s">
        <v>30</v>
      </c>
      <c r="E590" s="1">
        <v>-200</v>
      </c>
    </row>
    <row r="591" spans="1:6" x14ac:dyDescent="0.2">
      <c r="A591" s="205">
        <v>0.76931712962962961</v>
      </c>
      <c r="B591" s="1" t="s">
        <v>974</v>
      </c>
      <c r="C591" s="1">
        <v>47</v>
      </c>
      <c r="D591" s="1" t="s">
        <v>27</v>
      </c>
      <c r="E591" s="1">
        <v>100</v>
      </c>
    </row>
    <row r="592" spans="1:6" x14ac:dyDescent="0.2">
      <c r="A592" s="205">
        <v>0.76936342592592588</v>
      </c>
      <c r="B592" s="1" t="s">
        <v>978</v>
      </c>
      <c r="C592" s="1">
        <v>47</v>
      </c>
      <c r="D592" s="1" t="s">
        <v>27</v>
      </c>
      <c r="E592" s="1">
        <v>110</v>
      </c>
    </row>
    <row r="593" spans="1:6" x14ac:dyDescent="0.2">
      <c r="A593" s="205">
        <v>0.76944444444444438</v>
      </c>
      <c r="B593" s="1" t="s">
        <v>980</v>
      </c>
      <c r="C593" s="1">
        <v>52</v>
      </c>
      <c r="D593" s="1" t="s">
        <v>27</v>
      </c>
      <c r="E593" s="1">
        <v>-120</v>
      </c>
    </row>
    <row r="594" spans="1:6" x14ac:dyDescent="0.2">
      <c r="A594" s="205">
        <v>0.76950231481481479</v>
      </c>
      <c r="B594" s="1" t="s">
        <v>982</v>
      </c>
      <c r="C594" s="1">
        <v>57</v>
      </c>
      <c r="D594" s="1" t="s">
        <v>27</v>
      </c>
      <c r="E594" s="1">
        <v>130</v>
      </c>
    </row>
    <row r="595" spans="1:6" x14ac:dyDescent="0.2">
      <c r="A595" s="205">
        <v>0.76954861111111106</v>
      </c>
      <c r="B595" s="1" t="s">
        <v>987</v>
      </c>
      <c r="C595" s="1">
        <v>72</v>
      </c>
      <c r="D595" s="1" t="s">
        <v>27</v>
      </c>
      <c r="E595" s="1">
        <v>-140</v>
      </c>
    </row>
    <row r="596" spans="1:6" x14ac:dyDescent="0.2">
      <c r="A596" s="205">
        <v>0.76959490740740744</v>
      </c>
      <c r="B596" s="1" t="s">
        <v>984</v>
      </c>
      <c r="C596" s="1">
        <v>63</v>
      </c>
      <c r="D596" s="1" t="s">
        <v>27</v>
      </c>
      <c r="E596" s="1">
        <v>150</v>
      </c>
    </row>
    <row r="597" spans="1:6" x14ac:dyDescent="0.2">
      <c r="A597" s="205">
        <v>0.7696412037037037</v>
      </c>
      <c r="B597" s="1" t="s">
        <v>994</v>
      </c>
      <c r="C597" s="1">
        <v>57</v>
      </c>
      <c r="D597" s="1" t="s">
        <v>27</v>
      </c>
      <c r="E597" s="1">
        <v>-160</v>
      </c>
    </row>
    <row r="598" spans="1:6" x14ac:dyDescent="0.2">
      <c r="A598" s="205">
        <v>0.76968749999999997</v>
      </c>
      <c r="B598" s="1" t="s">
        <v>989</v>
      </c>
      <c r="C598" s="1">
        <v>72</v>
      </c>
      <c r="D598" s="1" t="s">
        <v>27</v>
      </c>
      <c r="E598" s="1">
        <v>170</v>
      </c>
    </row>
    <row r="599" spans="1:6" x14ac:dyDescent="0.2">
      <c r="A599" s="205">
        <v>0.76973379629629635</v>
      </c>
      <c r="B599" s="1" t="s">
        <v>993</v>
      </c>
      <c r="C599" s="1">
        <v>84</v>
      </c>
      <c r="D599" s="1" t="s">
        <v>27</v>
      </c>
      <c r="E599" s="1">
        <v>180</v>
      </c>
    </row>
    <row r="600" spans="1:6" x14ac:dyDescent="0.2">
      <c r="A600" s="205">
        <v>0.76978009259259261</v>
      </c>
      <c r="B600" s="1" t="s">
        <v>990</v>
      </c>
      <c r="C600" s="1">
        <v>84</v>
      </c>
      <c r="D600" s="1" t="s">
        <v>27</v>
      </c>
      <c r="E600" s="1">
        <v>190</v>
      </c>
    </row>
    <row r="601" spans="1:6" x14ac:dyDescent="0.2">
      <c r="A601" s="205">
        <v>0.76993055555555545</v>
      </c>
      <c r="B601" s="1" t="s">
        <v>974</v>
      </c>
      <c r="C601" s="1">
        <v>47</v>
      </c>
      <c r="D601" s="1" t="s">
        <v>31</v>
      </c>
      <c r="E601" s="1">
        <v>-110</v>
      </c>
      <c r="F601" s="1">
        <v>300</v>
      </c>
    </row>
    <row r="602" spans="1:6" x14ac:dyDescent="0.2">
      <c r="A602" s="205">
        <v>0.7699421296296296</v>
      </c>
      <c r="B602" s="1" t="s">
        <v>978</v>
      </c>
      <c r="C602" s="1">
        <v>47</v>
      </c>
      <c r="D602" s="1" t="s">
        <v>31</v>
      </c>
      <c r="E602" s="1">
        <v>120</v>
      </c>
    </row>
    <row r="603" spans="1:6" x14ac:dyDescent="0.2">
      <c r="A603" s="205">
        <v>0.76996527777777779</v>
      </c>
      <c r="B603" s="1" t="s">
        <v>980</v>
      </c>
      <c r="C603" s="1">
        <v>52</v>
      </c>
      <c r="D603" s="1" t="s">
        <v>31</v>
      </c>
      <c r="E603" s="1">
        <v>-130</v>
      </c>
    </row>
    <row r="604" spans="1:6" x14ac:dyDescent="0.2">
      <c r="A604" s="205">
        <v>0.76997685185185183</v>
      </c>
      <c r="B604" s="1" t="s">
        <v>982</v>
      </c>
      <c r="C604" s="1">
        <v>57</v>
      </c>
      <c r="D604" s="1" t="s">
        <v>31</v>
      </c>
      <c r="E604" s="1">
        <v>150</v>
      </c>
    </row>
    <row r="605" spans="1:6" x14ac:dyDescent="0.2">
      <c r="A605" s="205">
        <v>0.76998842592592587</v>
      </c>
      <c r="B605" s="1" t="s">
        <v>987</v>
      </c>
      <c r="C605" s="1">
        <v>72</v>
      </c>
      <c r="D605" s="1" t="s">
        <v>31</v>
      </c>
      <c r="E605" s="1">
        <v>150</v>
      </c>
    </row>
    <row r="606" spans="1:6" x14ac:dyDescent="0.2">
      <c r="A606" s="205">
        <v>0.77</v>
      </c>
      <c r="B606" s="1" t="s">
        <v>984</v>
      </c>
      <c r="C606" s="1">
        <v>63</v>
      </c>
      <c r="D606" s="1" t="s">
        <v>31</v>
      </c>
      <c r="E606" s="1">
        <v>160</v>
      </c>
    </row>
    <row r="607" spans="1:6" x14ac:dyDescent="0.2">
      <c r="A607" s="205">
        <v>0.77001157407407417</v>
      </c>
      <c r="B607" s="1" t="s">
        <v>994</v>
      </c>
      <c r="C607" s="1">
        <v>57</v>
      </c>
      <c r="D607" s="1" t="s">
        <v>31</v>
      </c>
      <c r="E607" s="1">
        <v>170</v>
      </c>
    </row>
    <row r="608" spans="1:6" x14ac:dyDescent="0.2">
      <c r="A608" s="205">
        <v>0.7700231481481481</v>
      </c>
      <c r="B608" s="1" t="s">
        <v>989</v>
      </c>
      <c r="C608" s="1">
        <v>72</v>
      </c>
      <c r="D608" s="1" t="s">
        <v>31</v>
      </c>
      <c r="E608" s="1">
        <v>180</v>
      </c>
    </row>
    <row r="609" spans="1:6" x14ac:dyDescent="0.2">
      <c r="A609" s="205">
        <v>0.77003472222222225</v>
      </c>
      <c r="B609" s="1" t="s">
        <v>993</v>
      </c>
      <c r="C609" s="1">
        <v>84</v>
      </c>
      <c r="D609" s="1" t="s">
        <v>31</v>
      </c>
      <c r="E609" s="1">
        <v>190</v>
      </c>
    </row>
    <row r="610" spans="1:6" x14ac:dyDescent="0.2">
      <c r="A610" s="205">
        <v>0.77005787037037043</v>
      </c>
      <c r="B610" s="1" t="s">
        <v>990</v>
      </c>
      <c r="C610" s="1">
        <v>84</v>
      </c>
      <c r="D610" s="1" t="s">
        <v>31</v>
      </c>
      <c r="E610" s="1">
        <v>200</v>
      </c>
    </row>
    <row r="611" spans="1:6" x14ac:dyDescent="0.2">
      <c r="A611" s="205">
        <v>0.77013888888888893</v>
      </c>
      <c r="B611" s="1" t="s">
        <v>974</v>
      </c>
      <c r="C611" s="1">
        <v>47</v>
      </c>
      <c r="D611" s="1" t="s">
        <v>29</v>
      </c>
      <c r="E611" s="1">
        <v>100</v>
      </c>
    </row>
    <row r="612" spans="1:6" x14ac:dyDescent="0.2">
      <c r="A612" s="205">
        <v>0.77015046296296286</v>
      </c>
      <c r="B612" s="1" t="s">
        <v>978</v>
      </c>
      <c r="C612" s="1">
        <v>47</v>
      </c>
      <c r="D612" s="1" t="s">
        <v>29</v>
      </c>
      <c r="E612" s="1">
        <v>110</v>
      </c>
    </row>
    <row r="613" spans="1:6" x14ac:dyDescent="0.2">
      <c r="A613" s="205">
        <v>0.77016203703703701</v>
      </c>
      <c r="B613" s="1" t="s">
        <v>980</v>
      </c>
      <c r="C613" s="1">
        <v>52</v>
      </c>
      <c r="D613" s="1" t="s">
        <v>29</v>
      </c>
      <c r="E613" s="1">
        <v>120</v>
      </c>
    </row>
    <row r="614" spans="1:6" x14ac:dyDescent="0.2">
      <c r="A614" s="205">
        <v>0.77017361111111116</v>
      </c>
      <c r="B614" s="1" t="s">
        <v>982</v>
      </c>
      <c r="C614" s="1">
        <v>57</v>
      </c>
      <c r="D614" s="1" t="s">
        <v>29</v>
      </c>
      <c r="E614" s="1">
        <v>130</v>
      </c>
    </row>
    <row r="615" spans="1:6" x14ac:dyDescent="0.2">
      <c r="A615" s="205">
        <v>0.77018518518518519</v>
      </c>
      <c r="B615" s="1" t="s">
        <v>987</v>
      </c>
      <c r="C615" s="1">
        <v>72</v>
      </c>
      <c r="D615" s="1" t="s">
        <v>29</v>
      </c>
      <c r="E615" s="1">
        <v>140</v>
      </c>
    </row>
    <row r="616" spans="1:6" x14ac:dyDescent="0.2">
      <c r="A616" s="205">
        <v>0.77019675925925923</v>
      </c>
      <c r="B616" s="1" t="s">
        <v>984</v>
      </c>
      <c r="C616" s="1">
        <v>63</v>
      </c>
      <c r="D616" s="1" t="s">
        <v>29</v>
      </c>
      <c r="E616" s="1">
        <v>150</v>
      </c>
    </row>
    <row r="617" spans="1:6" x14ac:dyDescent="0.2">
      <c r="A617" s="205">
        <v>0.77021990740740742</v>
      </c>
      <c r="B617" s="1" t="s">
        <v>994</v>
      </c>
      <c r="C617" s="1">
        <v>57</v>
      </c>
      <c r="D617" s="1" t="s">
        <v>29</v>
      </c>
      <c r="E617" s="1">
        <v>160</v>
      </c>
    </row>
    <row r="618" spans="1:6" x14ac:dyDescent="0.2">
      <c r="A618" s="205">
        <v>0.77023148148148157</v>
      </c>
      <c r="B618" s="1" t="s">
        <v>989</v>
      </c>
      <c r="C618" s="1">
        <v>72</v>
      </c>
      <c r="D618" s="1" t="s">
        <v>29</v>
      </c>
      <c r="E618" s="1">
        <v>170</v>
      </c>
    </row>
    <row r="619" spans="1:6" x14ac:dyDescent="0.2">
      <c r="A619" s="205">
        <v>0.7702430555555555</v>
      </c>
      <c r="B619" s="1" t="s">
        <v>993</v>
      </c>
      <c r="C619" s="1">
        <v>84</v>
      </c>
      <c r="D619" s="1" t="s">
        <v>29</v>
      </c>
      <c r="E619" s="1">
        <v>180</v>
      </c>
    </row>
    <row r="620" spans="1:6" x14ac:dyDescent="0.2">
      <c r="A620" s="205">
        <v>0.77025462962962965</v>
      </c>
      <c r="B620" s="1" t="s">
        <v>990</v>
      </c>
      <c r="C620" s="1">
        <v>84</v>
      </c>
      <c r="D620" s="1" t="s">
        <v>29</v>
      </c>
      <c r="E620" s="1">
        <v>190</v>
      </c>
    </row>
    <row r="621" spans="1:6" x14ac:dyDescent="0.2">
      <c r="A621" s="205">
        <v>0.77026620370370369</v>
      </c>
      <c r="B621" s="1" t="s">
        <v>991</v>
      </c>
      <c r="C621" s="1">
        <v>84</v>
      </c>
      <c r="D621" s="1" t="s">
        <v>29</v>
      </c>
      <c r="E621" s="1">
        <v>200</v>
      </c>
    </row>
    <row r="622" spans="1:6" x14ac:dyDescent="0.2">
      <c r="A622" s="205">
        <v>0.77031250000000007</v>
      </c>
      <c r="B622" s="1" t="s">
        <v>974</v>
      </c>
      <c r="C622" s="1">
        <v>47</v>
      </c>
      <c r="D622" s="1" t="s">
        <v>30</v>
      </c>
      <c r="E622" s="1">
        <v>100</v>
      </c>
      <c r="F622" s="1">
        <v>300</v>
      </c>
    </row>
    <row r="623" spans="1:6" x14ac:dyDescent="0.2">
      <c r="A623" s="205">
        <v>0.77032407407407411</v>
      </c>
      <c r="B623" s="1" t="s">
        <v>978</v>
      </c>
      <c r="C623" s="1">
        <v>47</v>
      </c>
      <c r="D623" s="1" t="s">
        <v>30</v>
      </c>
      <c r="E623" s="1">
        <v>110</v>
      </c>
      <c r="F623" s="1">
        <v>340</v>
      </c>
    </row>
    <row r="624" spans="1:6" x14ac:dyDescent="0.2">
      <c r="A624" s="205">
        <v>0.77033564814814814</v>
      </c>
      <c r="B624" s="1" t="s">
        <v>980</v>
      </c>
      <c r="C624" s="1">
        <v>52</v>
      </c>
      <c r="D624" s="1" t="s">
        <v>30</v>
      </c>
      <c r="E624" s="1">
        <v>120</v>
      </c>
    </row>
    <row r="625" spans="1:6" x14ac:dyDescent="0.2">
      <c r="A625" s="205">
        <v>0.77034722222222218</v>
      </c>
      <c r="B625" s="1" t="s">
        <v>982</v>
      </c>
      <c r="C625" s="1">
        <v>57</v>
      </c>
      <c r="D625" s="1" t="s">
        <v>30</v>
      </c>
      <c r="E625" s="1">
        <v>130</v>
      </c>
      <c r="F625" s="1">
        <v>410</v>
      </c>
    </row>
    <row r="626" spans="1:6" x14ac:dyDescent="0.2">
      <c r="A626" s="205">
        <v>0.77035879629629633</v>
      </c>
      <c r="B626" s="1" t="s">
        <v>987</v>
      </c>
      <c r="C626" s="1">
        <v>72</v>
      </c>
      <c r="D626" s="1" t="s">
        <v>30</v>
      </c>
      <c r="E626" s="1">
        <v>140</v>
      </c>
      <c r="F626" s="1">
        <v>430</v>
      </c>
    </row>
    <row r="627" spans="1:6" x14ac:dyDescent="0.2">
      <c r="A627" s="205">
        <v>0.77037037037037026</v>
      </c>
      <c r="B627" s="1" t="s">
        <v>984</v>
      </c>
      <c r="C627" s="1">
        <v>63</v>
      </c>
      <c r="D627" s="1" t="s">
        <v>30</v>
      </c>
      <c r="E627" s="1">
        <v>150</v>
      </c>
      <c r="F627" s="1">
        <v>460</v>
      </c>
    </row>
    <row r="628" spans="1:6" x14ac:dyDescent="0.2">
      <c r="A628" s="205">
        <v>0.77038194444444441</v>
      </c>
      <c r="B628" s="1" t="s">
        <v>994</v>
      </c>
      <c r="C628" s="1">
        <v>57</v>
      </c>
      <c r="D628" s="1" t="s">
        <v>30</v>
      </c>
      <c r="E628" s="1">
        <v>160</v>
      </c>
      <c r="F628" s="1">
        <v>490</v>
      </c>
    </row>
    <row r="629" spans="1:6" x14ac:dyDescent="0.2">
      <c r="A629" s="205">
        <v>0.7704050925925926</v>
      </c>
      <c r="B629" s="1" t="s">
        <v>989</v>
      </c>
      <c r="C629" s="1">
        <v>72</v>
      </c>
      <c r="D629" s="1" t="s">
        <v>30</v>
      </c>
      <c r="E629" s="1">
        <v>170</v>
      </c>
      <c r="F629" s="1">
        <v>520</v>
      </c>
    </row>
    <row r="630" spans="1:6" x14ac:dyDescent="0.2">
      <c r="A630" s="205">
        <v>0.77041666666666664</v>
      </c>
      <c r="B630" s="1" t="s">
        <v>993</v>
      </c>
      <c r="C630" s="1">
        <v>84</v>
      </c>
      <c r="D630" s="1" t="s">
        <v>30</v>
      </c>
      <c r="E630" s="1">
        <v>180</v>
      </c>
      <c r="F630" s="1">
        <v>550</v>
      </c>
    </row>
    <row r="631" spans="1:6" x14ac:dyDescent="0.2">
      <c r="A631" s="205">
        <v>0.77042824074074068</v>
      </c>
      <c r="B631" s="1" t="s">
        <v>990</v>
      </c>
      <c r="C631" s="1">
        <v>84</v>
      </c>
      <c r="D631" s="1" t="s">
        <v>30</v>
      </c>
      <c r="E631" s="1">
        <v>190</v>
      </c>
      <c r="F631" s="1">
        <v>580</v>
      </c>
    </row>
    <row r="632" spans="1:6" x14ac:dyDescent="0.2">
      <c r="A632" s="205">
        <v>0.77045138888888898</v>
      </c>
      <c r="B632" s="1" t="s">
        <v>991</v>
      </c>
      <c r="C632" s="1">
        <v>84</v>
      </c>
      <c r="D632" s="1" t="s">
        <v>30</v>
      </c>
      <c r="E632" s="1">
        <v>200</v>
      </c>
    </row>
    <row r="633" spans="1:6" x14ac:dyDescent="0.2">
      <c r="A633" s="205">
        <v>0.77057870370370374</v>
      </c>
      <c r="B633" s="1" t="s">
        <v>974</v>
      </c>
      <c r="C633" s="1">
        <v>47</v>
      </c>
      <c r="D633" s="1" t="s">
        <v>34</v>
      </c>
      <c r="E633" s="1">
        <v>110</v>
      </c>
      <c r="F633" s="1">
        <v>310</v>
      </c>
    </row>
    <row r="634" spans="1:6" x14ac:dyDescent="0.2">
      <c r="A634" s="205">
        <v>0.77059027777777767</v>
      </c>
      <c r="B634" s="1" t="s">
        <v>978</v>
      </c>
      <c r="C634" s="1">
        <v>47</v>
      </c>
      <c r="D634" s="1" t="s">
        <v>34</v>
      </c>
      <c r="E634" s="1">
        <v>120</v>
      </c>
      <c r="F634" s="1">
        <v>350</v>
      </c>
    </row>
    <row r="635" spans="1:6" x14ac:dyDescent="0.2">
      <c r="A635" s="205">
        <v>0.77060185185185182</v>
      </c>
      <c r="B635" s="1" t="s">
        <v>980</v>
      </c>
      <c r="C635" s="1">
        <v>52</v>
      </c>
      <c r="D635" s="1" t="s">
        <v>34</v>
      </c>
      <c r="E635" s="1">
        <v>130</v>
      </c>
    </row>
    <row r="636" spans="1:6" x14ac:dyDescent="0.2">
      <c r="A636" s="205">
        <v>0.77061342592592597</v>
      </c>
      <c r="B636" s="1" t="s">
        <v>982</v>
      </c>
      <c r="C636" s="1">
        <v>57</v>
      </c>
      <c r="D636" s="1" t="s">
        <v>34</v>
      </c>
      <c r="E636" s="1">
        <v>140</v>
      </c>
      <c r="F636" s="1">
        <v>420</v>
      </c>
    </row>
    <row r="637" spans="1:6" x14ac:dyDescent="0.2">
      <c r="A637" s="205">
        <v>0.770625</v>
      </c>
      <c r="B637" s="1" t="s">
        <v>987</v>
      </c>
      <c r="C637" s="1">
        <v>72</v>
      </c>
      <c r="D637" s="1" t="s">
        <v>34</v>
      </c>
      <c r="E637" s="1">
        <v>150</v>
      </c>
      <c r="F637" s="1">
        <v>440</v>
      </c>
    </row>
    <row r="638" spans="1:6" x14ac:dyDescent="0.2">
      <c r="A638" s="205">
        <v>0.77063657407407404</v>
      </c>
      <c r="B638" s="1" t="s">
        <v>984</v>
      </c>
      <c r="C638" s="1">
        <v>63</v>
      </c>
      <c r="D638" s="1" t="s">
        <v>34</v>
      </c>
      <c r="E638" s="1">
        <v>160</v>
      </c>
      <c r="F638" s="1">
        <v>470</v>
      </c>
    </row>
    <row r="639" spans="1:6" x14ac:dyDescent="0.2">
      <c r="A639" s="205">
        <v>0.77065972222222223</v>
      </c>
      <c r="B639" s="1" t="s">
        <v>994</v>
      </c>
      <c r="C639" s="1">
        <v>57</v>
      </c>
      <c r="D639" s="1" t="s">
        <v>34</v>
      </c>
      <c r="E639" s="1">
        <v>170</v>
      </c>
      <c r="F639" s="1">
        <v>500</v>
      </c>
    </row>
    <row r="640" spans="1:6" x14ac:dyDescent="0.2">
      <c r="A640" s="205">
        <v>0.77067129629629638</v>
      </c>
      <c r="B640" s="1" t="s">
        <v>989</v>
      </c>
      <c r="C640" s="1">
        <v>72</v>
      </c>
      <c r="D640" s="1" t="s">
        <v>34</v>
      </c>
      <c r="E640" s="1">
        <v>180</v>
      </c>
      <c r="F640" s="1">
        <v>530</v>
      </c>
    </row>
    <row r="641" spans="1:6" x14ac:dyDescent="0.2">
      <c r="A641" s="205">
        <v>0.77068287037037031</v>
      </c>
      <c r="B641" s="1" t="s">
        <v>993</v>
      </c>
      <c r="C641" s="1">
        <v>84</v>
      </c>
      <c r="D641" s="1" t="s">
        <v>34</v>
      </c>
      <c r="E641" s="1">
        <v>190</v>
      </c>
      <c r="F641" s="1">
        <v>560</v>
      </c>
    </row>
    <row r="642" spans="1:6" x14ac:dyDescent="0.2">
      <c r="A642" s="205">
        <v>0.77069444444444446</v>
      </c>
      <c r="B642" s="1" t="s">
        <v>990</v>
      </c>
      <c r="C642" s="1">
        <v>84</v>
      </c>
      <c r="D642" s="1" t="s">
        <v>34</v>
      </c>
      <c r="E642" s="1">
        <v>200</v>
      </c>
      <c r="F642" s="1">
        <v>590</v>
      </c>
    </row>
    <row r="643" spans="1:6" x14ac:dyDescent="0.2">
      <c r="A643" s="205">
        <v>0.7707060185185185</v>
      </c>
      <c r="B643" s="1" t="s">
        <v>991</v>
      </c>
      <c r="C643" s="1">
        <v>84</v>
      </c>
      <c r="D643" s="1" t="s">
        <v>34</v>
      </c>
      <c r="E643" s="1">
        <v>210</v>
      </c>
    </row>
    <row r="644" spans="1:6" x14ac:dyDescent="0.2">
      <c r="A644" s="205">
        <v>0.78836805555555556</v>
      </c>
      <c r="B644" s="1" t="s">
        <v>974</v>
      </c>
      <c r="C644" s="1">
        <v>47</v>
      </c>
      <c r="D644" s="1" t="s">
        <v>27</v>
      </c>
      <c r="E644" s="1">
        <v>100</v>
      </c>
    </row>
    <row r="645" spans="1:6" x14ac:dyDescent="0.2">
      <c r="A645" s="205">
        <v>0.78839120370370364</v>
      </c>
      <c r="B645" s="1" t="s">
        <v>978</v>
      </c>
      <c r="C645" s="1">
        <v>47</v>
      </c>
      <c r="D645" s="1" t="s">
        <v>27</v>
      </c>
      <c r="E645" s="1">
        <v>110</v>
      </c>
    </row>
    <row r="646" spans="1:6" x14ac:dyDescent="0.2">
      <c r="A646" s="205">
        <v>0.78841435185185194</v>
      </c>
      <c r="B646" s="1" t="s">
        <v>980</v>
      </c>
      <c r="C646" s="1">
        <v>52</v>
      </c>
      <c r="D646" s="1" t="s">
        <v>27</v>
      </c>
      <c r="E646" s="1">
        <v>120</v>
      </c>
    </row>
    <row r="647" spans="1:6" x14ac:dyDescent="0.2">
      <c r="A647" s="205">
        <v>0.78861111111111104</v>
      </c>
      <c r="B647" s="1" t="s">
        <v>982</v>
      </c>
      <c r="C647" s="1">
        <v>57</v>
      </c>
      <c r="D647" s="1" t="s">
        <v>27</v>
      </c>
      <c r="E647" s="1">
        <v>130</v>
      </c>
    </row>
    <row r="648" spans="1:6" x14ac:dyDescent="0.2">
      <c r="A648" s="205">
        <v>0.78862268518518519</v>
      </c>
      <c r="B648" s="1" t="s">
        <v>987</v>
      </c>
      <c r="C648" s="1">
        <v>72</v>
      </c>
      <c r="D648" s="1" t="s">
        <v>27</v>
      </c>
      <c r="E648" s="1">
        <v>-140</v>
      </c>
    </row>
    <row r="649" spans="1:6" x14ac:dyDescent="0.2">
      <c r="A649" s="205">
        <v>0.78863425925925934</v>
      </c>
      <c r="B649" s="1" t="s">
        <v>984</v>
      </c>
      <c r="C649" s="1">
        <v>63</v>
      </c>
      <c r="D649" s="1" t="s">
        <v>27</v>
      </c>
      <c r="E649" s="1">
        <v>150</v>
      </c>
    </row>
    <row r="650" spans="1:6" x14ac:dyDescent="0.2">
      <c r="A650" s="205">
        <v>0.78865740740740742</v>
      </c>
      <c r="B650" s="1" t="s">
        <v>994</v>
      </c>
      <c r="C650" s="1">
        <v>57</v>
      </c>
      <c r="D650" s="1" t="s">
        <v>27</v>
      </c>
      <c r="E650" s="1">
        <v>160</v>
      </c>
    </row>
    <row r="651" spans="1:6" x14ac:dyDescent="0.2">
      <c r="A651" s="205">
        <v>0.78868055555555561</v>
      </c>
      <c r="B651" s="1" t="s">
        <v>989</v>
      </c>
      <c r="C651" s="1">
        <v>72</v>
      </c>
      <c r="D651" s="1" t="s">
        <v>27</v>
      </c>
      <c r="E651" s="1">
        <v>170</v>
      </c>
    </row>
    <row r="652" spans="1:6" x14ac:dyDescent="0.2">
      <c r="A652" s="205">
        <v>0.78869212962962953</v>
      </c>
      <c r="B652" s="1" t="s">
        <v>993</v>
      </c>
      <c r="C652" s="1">
        <v>84</v>
      </c>
      <c r="D652" s="1" t="s">
        <v>27</v>
      </c>
      <c r="E652" s="1">
        <v>180</v>
      </c>
    </row>
    <row r="653" spans="1:6" x14ac:dyDescent="0.2">
      <c r="A653" s="205">
        <v>0.78871527777777783</v>
      </c>
      <c r="B653" s="1" t="s">
        <v>990</v>
      </c>
      <c r="C653" s="1">
        <v>84</v>
      </c>
      <c r="D653" s="1" t="s">
        <v>27</v>
      </c>
      <c r="E653" s="1">
        <v>190</v>
      </c>
    </row>
    <row r="654" spans="1:6" x14ac:dyDescent="0.2">
      <c r="A654" s="205">
        <v>0.78872685185185187</v>
      </c>
      <c r="B654" s="1" t="s">
        <v>991</v>
      </c>
      <c r="C654" s="1">
        <v>84</v>
      </c>
      <c r="D654" s="1" t="s">
        <v>27</v>
      </c>
      <c r="E654" s="1">
        <v>200</v>
      </c>
    </row>
    <row r="655" spans="1:6" x14ac:dyDescent="0.2">
      <c r="A655" s="205">
        <v>0.78879629629629633</v>
      </c>
      <c r="B655" s="1" t="s">
        <v>974</v>
      </c>
      <c r="C655" s="1">
        <v>47</v>
      </c>
      <c r="D655" s="1" t="s">
        <v>29</v>
      </c>
      <c r="E655" s="1">
        <v>100</v>
      </c>
    </row>
    <row r="656" spans="1:6" x14ac:dyDescent="0.2">
      <c r="A656" s="205">
        <v>0.78881944444444441</v>
      </c>
      <c r="B656" s="1" t="s">
        <v>978</v>
      </c>
      <c r="C656" s="1">
        <v>47</v>
      </c>
      <c r="D656" s="1" t="s">
        <v>29</v>
      </c>
      <c r="E656" s="1">
        <v>110</v>
      </c>
    </row>
    <row r="657" spans="1:5" x14ac:dyDescent="0.2">
      <c r="A657" s="205">
        <v>0.78883101851851845</v>
      </c>
      <c r="B657" s="1" t="s">
        <v>980</v>
      </c>
      <c r="C657" s="1">
        <v>52</v>
      </c>
      <c r="D657" s="1" t="s">
        <v>29</v>
      </c>
      <c r="E657" s="1">
        <v>120</v>
      </c>
    </row>
    <row r="658" spans="1:5" x14ac:dyDescent="0.2">
      <c r="A658" s="205">
        <v>0.78885416666666675</v>
      </c>
      <c r="B658" s="1" t="s">
        <v>982</v>
      </c>
      <c r="C658" s="1">
        <v>57</v>
      </c>
      <c r="D658" s="1" t="s">
        <v>29</v>
      </c>
      <c r="E658" s="1">
        <v>130</v>
      </c>
    </row>
    <row r="659" spans="1:5" x14ac:dyDescent="0.2">
      <c r="A659" s="205">
        <v>0.78886574074074067</v>
      </c>
      <c r="B659" s="1" t="s">
        <v>987</v>
      </c>
      <c r="C659" s="1">
        <v>72</v>
      </c>
      <c r="D659" s="1" t="s">
        <v>29</v>
      </c>
      <c r="E659" s="1">
        <v>140</v>
      </c>
    </row>
    <row r="660" spans="1:5" x14ac:dyDescent="0.2">
      <c r="A660" s="205">
        <v>0.78887731481481482</v>
      </c>
      <c r="B660" s="1" t="s">
        <v>984</v>
      </c>
      <c r="C660" s="1">
        <v>63</v>
      </c>
      <c r="D660" s="1" t="s">
        <v>29</v>
      </c>
      <c r="E660" s="1">
        <v>150</v>
      </c>
    </row>
    <row r="661" spans="1:5" x14ac:dyDescent="0.2">
      <c r="A661" s="205">
        <v>0.78890046296296301</v>
      </c>
      <c r="B661" s="1" t="s">
        <v>994</v>
      </c>
      <c r="C661" s="1">
        <v>57</v>
      </c>
      <c r="D661" s="1" t="s">
        <v>29</v>
      </c>
      <c r="E661" s="1">
        <v>160</v>
      </c>
    </row>
    <row r="662" spans="1:5" x14ac:dyDescent="0.2">
      <c r="A662" s="205">
        <v>0.78891203703703694</v>
      </c>
      <c r="B662" s="1" t="s">
        <v>989</v>
      </c>
      <c r="C662" s="1">
        <v>72</v>
      </c>
      <c r="D662" s="1" t="s">
        <v>29</v>
      </c>
      <c r="E662" s="1">
        <v>170</v>
      </c>
    </row>
    <row r="663" spans="1:5" x14ac:dyDescent="0.2">
      <c r="A663" s="205">
        <v>0.78893518518518524</v>
      </c>
      <c r="B663" s="1" t="s">
        <v>993</v>
      </c>
      <c r="C663" s="1">
        <v>84</v>
      </c>
      <c r="D663" s="1" t="s">
        <v>29</v>
      </c>
      <c r="E663" s="1">
        <v>180</v>
      </c>
    </row>
    <row r="664" spans="1:5" x14ac:dyDescent="0.2">
      <c r="A664" s="205">
        <v>0.78894675925925928</v>
      </c>
      <c r="B664" s="1" t="s">
        <v>990</v>
      </c>
      <c r="C664" s="1">
        <v>84</v>
      </c>
      <c r="D664" s="1" t="s">
        <v>29</v>
      </c>
      <c r="E664" s="1">
        <v>190</v>
      </c>
    </row>
    <row r="665" spans="1:5" x14ac:dyDescent="0.2">
      <c r="A665" s="205">
        <v>0.78895833333333332</v>
      </c>
      <c r="B665" s="1" t="s">
        <v>991</v>
      </c>
      <c r="C665" s="1">
        <v>84</v>
      </c>
      <c r="D665" s="1" t="s">
        <v>29</v>
      </c>
      <c r="E665" s="1">
        <v>200</v>
      </c>
    </row>
    <row r="666" spans="1:5" x14ac:dyDescent="0.2">
      <c r="A666" s="205">
        <v>0.78898148148148151</v>
      </c>
      <c r="B666" s="1" t="s">
        <v>991</v>
      </c>
      <c r="C666" s="1">
        <v>84</v>
      </c>
      <c r="D666" s="1" t="s">
        <v>29</v>
      </c>
      <c r="E666" s="1">
        <v>200</v>
      </c>
    </row>
    <row r="667" spans="1:5" x14ac:dyDescent="0.2">
      <c r="A667" s="205">
        <v>0.78899305555555566</v>
      </c>
      <c r="B667" s="1" t="s">
        <v>991</v>
      </c>
      <c r="C667" s="1">
        <v>84</v>
      </c>
      <c r="D667" s="1" t="s">
        <v>29</v>
      </c>
      <c r="E667" s="1">
        <v>200</v>
      </c>
    </row>
    <row r="668" spans="1:5" x14ac:dyDescent="0.2">
      <c r="A668" s="205">
        <v>0.78903935185185192</v>
      </c>
      <c r="B668" s="1" t="s">
        <v>974</v>
      </c>
      <c r="C668" s="1">
        <v>47</v>
      </c>
      <c r="D668" s="1" t="s">
        <v>30</v>
      </c>
      <c r="E668" s="1">
        <v>100</v>
      </c>
    </row>
    <row r="669" spans="1:5" x14ac:dyDescent="0.2">
      <c r="A669" s="205">
        <v>0.7890625</v>
      </c>
      <c r="B669" s="1" t="s">
        <v>978</v>
      </c>
      <c r="C669" s="1">
        <v>47</v>
      </c>
      <c r="D669" s="1" t="s">
        <v>30</v>
      </c>
      <c r="E669" s="1">
        <v>110</v>
      </c>
    </row>
    <row r="670" spans="1:5" x14ac:dyDescent="0.2">
      <c r="A670" s="205">
        <v>0.78907407407407415</v>
      </c>
      <c r="B670" s="1" t="s">
        <v>980</v>
      </c>
      <c r="C670" s="1">
        <v>52</v>
      </c>
      <c r="D670" s="1" t="s">
        <v>30</v>
      </c>
      <c r="E670" s="1">
        <v>120</v>
      </c>
    </row>
    <row r="671" spans="1:5" x14ac:dyDescent="0.2">
      <c r="A671" s="205">
        <v>0.78908564814814808</v>
      </c>
      <c r="B671" s="1" t="s">
        <v>982</v>
      </c>
      <c r="C671" s="1">
        <v>57</v>
      </c>
      <c r="D671" s="1" t="s">
        <v>30</v>
      </c>
      <c r="E671" s="1">
        <v>130</v>
      </c>
    </row>
    <row r="672" spans="1:5" x14ac:dyDescent="0.2">
      <c r="A672" s="205">
        <v>0.78910879629629627</v>
      </c>
      <c r="B672" s="1" t="s">
        <v>987</v>
      </c>
      <c r="C672" s="1">
        <v>72</v>
      </c>
      <c r="D672" s="1" t="s">
        <v>30</v>
      </c>
      <c r="E672" s="1">
        <v>140</v>
      </c>
    </row>
    <row r="673" spans="1:5" x14ac:dyDescent="0.2">
      <c r="A673" s="205">
        <v>0.78912037037037042</v>
      </c>
      <c r="B673" s="1" t="s">
        <v>984</v>
      </c>
      <c r="C673" s="1">
        <v>63</v>
      </c>
      <c r="D673" s="1" t="s">
        <v>30</v>
      </c>
      <c r="E673" s="1">
        <v>150</v>
      </c>
    </row>
    <row r="674" spans="1:5" x14ac:dyDescent="0.2">
      <c r="A674" s="205">
        <v>0.78913194444444434</v>
      </c>
      <c r="B674" s="1" t="s">
        <v>994</v>
      </c>
      <c r="C674" s="1">
        <v>57</v>
      </c>
      <c r="D674" s="1" t="s">
        <v>30</v>
      </c>
      <c r="E674" s="1">
        <v>160</v>
      </c>
    </row>
    <row r="675" spans="1:5" x14ac:dyDescent="0.2">
      <c r="A675" s="205">
        <v>0.78915509259259264</v>
      </c>
      <c r="B675" s="1" t="s">
        <v>989</v>
      </c>
      <c r="C675" s="1">
        <v>72</v>
      </c>
      <c r="D675" s="1" t="s">
        <v>30</v>
      </c>
      <c r="E675" s="1">
        <v>170</v>
      </c>
    </row>
    <row r="676" spans="1:5" x14ac:dyDescent="0.2">
      <c r="A676" s="205">
        <v>0.78916666666666668</v>
      </c>
      <c r="B676" s="1" t="s">
        <v>993</v>
      </c>
      <c r="C676" s="1">
        <v>84</v>
      </c>
      <c r="D676" s="1" t="s">
        <v>30</v>
      </c>
      <c r="E676" s="1">
        <v>180</v>
      </c>
    </row>
    <row r="677" spans="1:5" x14ac:dyDescent="0.2">
      <c r="A677" s="205">
        <v>0.78917824074074072</v>
      </c>
      <c r="B677" s="1" t="s">
        <v>990</v>
      </c>
      <c r="C677" s="1">
        <v>84</v>
      </c>
      <c r="D677" s="1" t="s">
        <v>30</v>
      </c>
      <c r="E677" s="1">
        <v>190</v>
      </c>
    </row>
    <row r="678" spans="1:5" x14ac:dyDescent="0.2">
      <c r="A678" s="205">
        <v>0.78920138888888891</v>
      </c>
      <c r="B678" s="1" t="s">
        <v>991</v>
      </c>
      <c r="C678" s="1">
        <v>84</v>
      </c>
      <c r="D678" s="1" t="s">
        <v>30</v>
      </c>
      <c r="E678" s="1">
        <v>200</v>
      </c>
    </row>
    <row r="679" spans="1:5" x14ac:dyDescent="0.2">
      <c r="A679" s="205">
        <v>0.78921296296296306</v>
      </c>
      <c r="B679" s="1" t="s">
        <v>991</v>
      </c>
      <c r="C679" s="1">
        <v>84</v>
      </c>
      <c r="D679" s="1" t="s">
        <v>30</v>
      </c>
      <c r="E679" s="1">
        <v>200</v>
      </c>
    </row>
    <row r="680" spans="1:5" x14ac:dyDescent="0.2">
      <c r="A680" s="205">
        <v>0.79015046296296287</v>
      </c>
      <c r="B680" s="1" t="s">
        <v>974</v>
      </c>
      <c r="C680" s="1">
        <v>47</v>
      </c>
      <c r="D680" s="1" t="s">
        <v>27</v>
      </c>
      <c r="E680" s="1">
        <v>100</v>
      </c>
    </row>
    <row r="681" spans="1:5" x14ac:dyDescent="0.2">
      <c r="A681" s="205">
        <v>0.79016203703703702</v>
      </c>
      <c r="B681" s="1" t="s">
        <v>978</v>
      </c>
      <c r="C681" s="1">
        <v>47</v>
      </c>
      <c r="D681" s="1" t="s">
        <v>27</v>
      </c>
      <c r="E681" s="1">
        <v>110</v>
      </c>
    </row>
    <row r="682" spans="1:5" x14ac:dyDescent="0.2">
      <c r="A682" s="205">
        <v>0.79017361111111117</v>
      </c>
      <c r="B682" s="1" t="s">
        <v>980</v>
      </c>
      <c r="C682" s="1">
        <v>52</v>
      </c>
      <c r="D682" s="1" t="s">
        <v>27</v>
      </c>
      <c r="E682" s="1">
        <v>120</v>
      </c>
    </row>
    <row r="683" spans="1:5" x14ac:dyDescent="0.2">
      <c r="A683" s="205">
        <v>0.79019675925925925</v>
      </c>
      <c r="B683" s="1" t="s">
        <v>982</v>
      </c>
      <c r="C683" s="1">
        <v>57</v>
      </c>
      <c r="D683" s="1" t="s">
        <v>27</v>
      </c>
      <c r="E683" s="1">
        <v>130</v>
      </c>
    </row>
    <row r="684" spans="1:5" x14ac:dyDescent="0.2">
      <c r="A684" s="205">
        <v>0.79020833333333329</v>
      </c>
      <c r="B684" s="1" t="s">
        <v>987</v>
      </c>
      <c r="C684" s="1">
        <v>72</v>
      </c>
      <c r="D684" s="1" t="s">
        <v>27</v>
      </c>
      <c r="E684" s="1">
        <v>140</v>
      </c>
    </row>
    <row r="685" spans="1:5" x14ac:dyDescent="0.2">
      <c r="A685" s="205">
        <v>0.79023148148148137</v>
      </c>
      <c r="B685" s="1" t="s">
        <v>984</v>
      </c>
      <c r="C685" s="1">
        <v>63</v>
      </c>
      <c r="D685" s="1" t="s">
        <v>27</v>
      </c>
      <c r="E685" s="1">
        <v>150</v>
      </c>
    </row>
    <row r="686" spans="1:5" x14ac:dyDescent="0.2">
      <c r="A686" s="205">
        <v>0.79025462962962967</v>
      </c>
      <c r="B686" s="1" t="s">
        <v>994</v>
      </c>
      <c r="C686" s="1">
        <v>57</v>
      </c>
      <c r="D686" s="1" t="s">
        <v>27</v>
      </c>
      <c r="E686" s="1">
        <v>160</v>
      </c>
    </row>
    <row r="687" spans="1:5" x14ac:dyDescent="0.2">
      <c r="A687" s="205">
        <v>0.79026620370370371</v>
      </c>
      <c r="B687" s="1" t="s">
        <v>989</v>
      </c>
      <c r="C687" s="1">
        <v>72</v>
      </c>
      <c r="D687" s="1" t="s">
        <v>27</v>
      </c>
      <c r="E687" s="1">
        <v>170</v>
      </c>
    </row>
    <row r="688" spans="1:5" x14ac:dyDescent="0.2">
      <c r="A688" s="205">
        <v>0.79028935185185178</v>
      </c>
      <c r="B688" s="1" t="s">
        <v>993</v>
      </c>
      <c r="C688" s="1">
        <v>84</v>
      </c>
      <c r="D688" s="1" t="s">
        <v>27</v>
      </c>
      <c r="E688" s="1">
        <v>180</v>
      </c>
    </row>
    <row r="689" spans="1:6" x14ac:dyDescent="0.2">
      <c r="A689" s="205">
        <v>0.79030092592592593</v>
      </c>
      <c r="B689" s="1" t="s">
        <v>990</v>
      </c>
      <c r="C689" s="1">
        <v>84</v>
      </c>
      <c r="D689" s="1" t="s">
        <v>27</v>
      </c>
      <c r="E689" s="1">
        <v>190</v>
      </c>
    </row>
    <row r="690" spans="1:6" x14ac:dyDescent="0.2">
      <c r="A690" s="205">
        <v>0.79032407407407401</v>
      </c>
      <c r="B690" s="1" t="s">
        <v>991</v>
      </c>
      <c r="C690" s="1">
        <v>84</v>
      </c>
      <c r="D690" s="1" t="s">
        <v>27</v>
      </c>
      <c r="E690" s="1">
        <v>200</v>
      </c>
    </row>
    <row r="691" spans="1:6" x14ac:dyDescent="0.2">
      <c r="A691" s="205">
        <v>0.79038194444444443</v>
      </c>
      <c r="B691" s="1" t="s">
        <v>974</v>
      </c>
      <c r="C691" s="1">
        <v>47</v>
      </c>
      <c r="D691" s="1" t="s">
        <v>29</v>
      </c>
      <c r="E691" s="1">
        <v>100</v>
      </c>
    </row>
    <row r="692" spans="1:6" x14ac:dyDescent="0.2">
      <c r="A692" s="205">
        <v>0.79040509259259262</v>
      </c>
      <c r="B692" s="1" t="s">
        <v>978</v>
      </c>
      <c r="C692" s="1">
        <v>47</v>
      </c>
      <c r="D692" s="1" t="s">
        <v>29</v>
      </c>
      <c r="E692" s="1">
        <v>110</v>
      </c>
    </row>
    <row r="693" spans="1:6" x14ac:dyDescent="0.2">
      <c r="A693" s="205">
        <v>0.79041666666666666</v>
      </c>
      <c r="B693" s="1" t="s">
        <v>980</v>
      </c>
      <c r="C693" s="1">
        <v>52</v>
      </c>
      <c r="D693" s="1" t="s">
        <v>29</v>
      </c>
      <c r="E693" s="1">
        <v>120</v>
      </c>
    </row>
    <row r="694" spans="1:6" x14ac:dyDescent="0.2">
      <c r="A694" s="205">
        <v>0.79076388888888882</v>
      </c>
      <c r="B694" s="1" t="s">
        <v>982</v>
      </c>
      <c r="C694" s="1">
        <v>57</v>
      </c>
      <c r="D694" s="1" t="s">
        <v>29</v>
      </c>
      <c r="E694" s="1">
        <v>130</v>
      </c>
    </row>
    <row r="695" spans="1:6" x14ac:dyDescent="0.2">
      <c r="A695" s="205">
        <v>0.79077546296296297</v>
      </c>
      <c r="B695" s="1" t="s">
        <v>987</v>
      </c>
      <c r="C695" s="1">
        <v>72</v>
      </c>
      <c r="D695" s="1" t="s">
        <v>29</v>
      </c>
      <c r="E695" s="1">
        <v>140</v>
      </c>
    </row>
    <row r="696" spans="1:6" x14ac:dyDescent="0.2">
      <c r="A696" s="205">
        <v>0.79079861111111116</v>
      </c>
      <c r="B696" s="1" t="s">
        <v>984</v>
      </c>
      <c r="C696" s="1">
        <v>63</v>
      </c>
      <c r="D696" s="1" t="s">
        <v>29</v>
      </c>
      <c r="E696" s="1">
        <v>150</v>
      </c>
    </row>
    <row r="697" spans="1:6" x14ac:dyDescent="0.2">
      <c r="A697" s="205">
        <v>0.79081018518518509</v>
      </c>
      <c r="B697" s="1" t="s">
        <v>994</v>
      </c>
      <c r="C697" s="1">
        <v>57</v>
      </c>
      <c r="D697" s="1" t="s">
        <v>29</v>
      </c>
      <c r="E697" s="1">
        <v>160</v>
      </c>
    </row>
    <row r="698" spans="1:6" x14ac:dyDescent="0.2">
      <c r="A698" s="205">
        <v>0.79083333333333339</v>
      </c>
      <c r="B698" s="1" t="s">
        <v>989</v>
      </c>
      <c r="C698" s="1">
        <v>72</v>
      </c>
      <c r="D698" s="1" t="s">
        <v>29</v>
      </c>
      <c r="E698" s="1">
        <v>170</v>
      </c>
    </row>
    <row r="699" spans="1:6" x14ac:dyDescent="0.2">
      <c r="A699" s="205">
        <v>0.79084490740740743</v>
      </c>
      <c r="B699" s="1" t="s">
        <v>993</v>
      </c>
      <c r="C699" s="1">
        <v>84</v>
      </c>
      <c r="D699" s="1" t="s">
        <v>29</v>
      </c>
      <c r="E699" s="1">
        <v>180</v>
      </c>
    </row>
    <row r="700" spans="1:6" x14ac:dyDescent="0.2">
      <c r="A700" s="205">
        <v>0.79085648148148147</v>
      </c>
      <c r="B700" s="1" t="s">
        <v>990</v>
      </c>
      <c r="C700" s="1">
        <v>84</v>
      </c>
      <c r="D700" s="1" t="s">
        <v>29</v>
      </c>
      <c r="E700" s="1">
        <v>190</v>
      </c>
    </row>
    <row r="701" spans="1:6" x14ac:dyDescent="0.2">
      <c r="A701" s="205">
        <v>0.79087962962962965</v>
      </c>
      <c r="B701" s="1" t="s">
        <v>991</v>
      </c>
      <c r="C701" s="1">
        <v>84</v>
      </c>
      <c r="D701" s="1" t="s">
        <v>29</v>
      </c>
      <c r="E701" s="1">
        <v>200</v>
      </c>
    </row>
    <row r="702" spans="1:6" x14ac:dyDescent="0.2">
      <c r="A702" s="205">
        <v>0.7908912037037038</v>
      </c>
      <c r="B702" s="1" t="s">
        <v>991</v>
      </c>
      <c r="C702" s="1">
        <v>84</v>
      </c>
      <c r="D702" s="1" t="s">
        <v>29</v>
      </c>
      <c r="E702" s="1">
        <v>200</v>
      </c>
    </row>
    <row r="703" spans="1:6" x14ac:dyDescent="0.2">
      <c r="A703" s="205">
        <v>0.79096064814814815</v>
      </c>
      <c r="B703" s="1" t="s">
        <v>974</v>
      </c>
      <c r="C703" s="1">
        <v>47</v>
      </c>
      <c r="D703" s="1" t="s">
        <v>30</v>
      </c>
      <c r="E703" s="1">
        <v>100</v>
      </c>
      <c r="F703" s="1">
        <v>300</v>
      </c>
    </row>
    <row r="704" spans="1:6" x14ac:dyDescent="0.2">
      <c r="A704" s="205">
        <v>0.79098379629629623</v>
      </c>
      <c r="B704" s="1" t="s">
        <v>978</v>
      </c>
      <c r="C704" s="1">
        <v>47</v>
      </c>
      <c r="D704" s="1" t="s">
        <v>30</v>
      </c>
      <c r="E704" s="1">
        <v>110</v>
      </c>
      <c r="F704" s="1">
        <v>330</v>
      </c>
    </row>
    <row r="705" spans="1:6" x14ac:dyDescent="0.2">
      <c r="A705" s="205">
        <v>0.79099537037037038</v>
      </c>
      <c r="B705" s="1" t="s">
        <v>980</v>
      </c>
      <c r="C705" s="1">
        <v>52</v>
      </c>
      <c r="D705" s="1" t="s">
        <v>30</v>
      </c>
      <c r="E705" s="1">
        <v>120</v>
      </c>
      <c r="F705" s="1">
        <v>360</v>
      </c>
    </row>
    <row r="706" spans="1:6" x14ac:dyDescent="0.2">
      <c r="A706" s="205">
        <v>0.79100694444444442</v>
      </c>
      <c r="B706" s="1" t="s">
        <v>982</v>
      </c>
      <c r="C706" s="1">
        <v>57</v>
      </c>
      <c r="D706" s="1" t="s">
        <v>30</v>
      </c>
      <c r="E706" s="1">
        <v>130</v>
      </c>
      <c r="F706" s="1">
        <v>390</v>
      </c>
    </row>
    <row r="707" spans="1:6" x14ac:dyDescent="0.2">
      <c r="A707" s="205">
        <v>0.79103009259259249</v>
      </c>
      <c r="B707" s="1" t="s">
        <v>987</v>
      </c>
      <c r="C707" s="1">
        <v>72</v>
      </c>
      <c r="D707" s="1" t="s">
        <v>30</v>
      </c>
      <c r="E707" s="1">
        <v>140</v>
      </c>
      <c r="F707" s="1">
        <v>420</v>
      </c>
    </row>
    <row r="708" spans="1:6" x14ac:dyDescent="0.2">
      <c r="A708" s="205">
        <v>0.79104166666666664</v>
      </c>
      <c r="B708" s="1" t="s">
        <v>984</v>
      </c>
      <c r="C708" s="1">
        <v>63</v>
      </c>
      <c r="D708" s="1" t="s">
        <v>30</v>
      </c>
      <c r="E708" s="1">
        <v>150</v>
      </c>
      <c r="F708" s="1">
        <v>450</v>
      </c>
    </row>
    <row r="709" spans="1:6" x14ac:dyDescent="0.2">
      <c r="A709" s="205">
        <v>0.79106481481481483</v>
      </c>
      <c r="B709" s="1" t="s">
        <v>994</v>
      </c>
      <c r="C709" s="1">
        <v>57</v>
      </c>
      <c r="D709" s="1" t="s">
        <v>30</v>
      </c>
      <c r="E709" s="1">
        <v>160</v>
      </c>
      <c r="F709" s="1">
        <v>480</v>
      </c>
    </row>
    <row r="710" spans="1:6" x14ac:dyDescent="0.2">
      <c r="A710" s="205">
        <v>0.79107638888888887</v>
      </c>
      <c r="B710" s="1" t="s">
        <v>989</v>
      </c>
      <c r="C710" s="1">
        <v>72</v>
      </c>
      <c r="D710" s="1" t="s">
        <v>30</v>
      </c>
      <c r="E710" s="1">
        <v>170</v>
      </c>
      <c r="F710" s="1">
        <v>510</v>
      </c>
    </row>
    <row r="711" spans="1:6" x14ac:dyDescent="0.2">
      <c r="A711" s="205">
        <v>0.79108796296296291</v>
      </c>
      <c r="B711" s="1" t="s">
        <v>993</v>
      </c>
      <c r="C711" s="1">
        <v>84</v>
      </c>
      <c r="D711" s="1" t="s">
        <v>30</v>
      </c>
      <c r="E711" s="1">
        <v>180</v>
      </c>
      <c r="F711" s="1">
        <v>540</v>
      </c>
    </row>
    <row r="712" spans="1:6" x14ac:dyDescent="0.2">
      <c r="A712" s="205">
        <v>0.79111111111111121</v>
      </c>
      <c r="B712" s="1" t="s">
        <v>990</v>
      </c>
      <c r="C712" s="1">
        <v>84</v>
      </c>
      <c r="D712" s="1" t="s">
        <v>30</v>
      </c>
      <c r="E712" s="1">
        <v>190</v>
      </c>
      <c r="F712" s="1">
        <v>570</v>
      </c>
    </row>
    <row r="713" spans="1:6" x14ac:dyDescent="0.2">
      <c r="A713" s="205">
        <v>0.79112268518518514</v>
      </c>
      <c r="B713" s="1" t="s">
        <v>991</v>
      </c>
      <c r="C713" s="1">
        <v>84</v>
      </c>
      <c r="D713" s="1" t="s">
        <v>30</v>
      </c>
      <c r="E713" s="1">
        <v>200</v>
      </c>
      <c r="F713" s="1">
        <v>600</v>
      </c>
    </row>
    <row r="714" spans="1:6" x14ac:dyDescent="0.2">
      <c r="A714" s="205">
        <v>0.79114583333333333</v>
      </c>
      <c r="B714" s="1" t="s">
        <v>991</v>
      </c>
      <c r="C714" s="1">
        <v>84</v>
      </c>
      <c r="D714" s="1" t="s">
        <v>30</v>
      </c>
      <c r="E714" s="1">
        <v>200</v>
      </c>
      <c r="F714" s="1">
        <v>600</v>
      </c>
    </row>
    <row r="715" spans="1:6" x14ac:dyDescent="0.2">
      <c r="A715" s="205">
        <v>0.79114583333333333</v>
      </c>
      <c r="B715" s="1" t="s">
        <v>991</v>
      </c>
      <c r="C715" s="1">
        <v>84</v>
      </c>
      <c r="D715" s="1" t="s">
        <v>30</v>
      </c>
      <c r="E715" s="1">
        <v>200</v>
      </c>
      <c r="F715" s="1">
        <v>600</v>
      </c>
    </row>
    <row r="716" spans="1:6" x14ac:dyDescent="0.2">
      <c r="A716" s="205">
        <v>0.52758101851851846</v>
      </c>
      <c r="B716" s="1" t="s">
        <v>991</v>
      </c>
      <c r="C716" s="1">
        <v>84</v>
      </c>
      <c r="D716" s="1" t="s">
        <v>30</v>
      </c>
      <c r="E716" s="1">
        <v>200</v>
      </c>
      <c r="F716" s="1">
        <v>600</v>
      </c>
    </row>
    <row r="717" spans="1:6" x14ac:dyDescent="0.2">
      <c r="A717" s="205">
        <v>0.52759259259259261</v>
      </c>
      <c r="B717" s="1" t="s">
        <v>991</v>
      </c>
      <c r="C717" s="1">
        <v>84</v>
      </c>
      <c r="D717" s="1" t="s">
        <v>30</v>
      </c>
      <c r="E717" s="1">
        <v>200</v>
      </c>
      <c r="F717" s="1">
        <v>600</v>
      </c>
    </row>
    <row r="718" spans="1:6" x14ac:dyDescent="0.2">
      <c r="A718" s="205">
        <v>0.5276157407407408</v>
      </c>
      <c r="B718" s="1" t="s">
        <v>991</v>
      </c>
      <c r="C718" s="1">
        <v>84</v>
      </c>
      <c r="D718" s="1" t="s">
        <v>30</v>
      </c>
      <c r="E718" s="1">
        <v>200</v>
      </c>
      <c r="F718" s="1">
        <v>600</v>
      </c>
    </row>
    <row r="719" spans="1:6" x14ac:dyDescent="0.2">
      <c r="A719" s="205">
        <v>0.52771990740740737</v>
      </c>
      <c r="B719" s="1" t="s">
        <v>997</v>
      </c>
      <c r="C719" s="1" t="s">
        <v>53</v>
      </c>
      <c r="D719" s="1" t="s">
        <v>30</v>
      </c>
      <c r="E719" s="1">
        <v>250</v>
      </c>
    </row>
    <row r="720" spans="1:6" x14ac:dyDescent="0.2">
      <c r="A720" s="205">
        <v>0.52773148148148141</v>
      </c>
      <c r="B720" s="1" t="s">
        <v>999</v>
      </c>
      <c r="C720" s="1" t="s">
        <v>53</v>
      </c>
      <c r="D720" s="1" t="s">
        <v>30</v>
      </c>
      <c r="E720" s="1">
        <v>210</v>
      </c>
    </row>
    <row r="721" spans="1:5" x14ac:dyDescent="0.2">
      <c r="A721" s="205">
        <v>0.5277546296296296</v>
      </c>
      <c r="B721" s="1" t="s">
        <v>1002</v>
      </c>
      <c r="C721" s="1" t="s">
        <v>53</v>
      </c>
      <c r="D721" s="1" t="s">
        <v>30</v>
      </c>
      <c r="E721" s="1">
        <v>240</v>
      </c>
    </row>
    <row r="722" spans="1:5" x14ac:dyDescent="0.2">
      <c r="A722" s="205">
        <v>0.52776620370370375</v>
      </c>
      <c r="B722" s="1" t="s">
        <v>1000</v>
      </c>
      <c r="C722" s="1" t="s">
        <v>53</v>
      </c>
      <c r="D722" s="1" t="s">
        <v>30</v>
      </c>
      <c r="E722" s="1">
        <v>-220</v>
      </c>
    </row>
    <row r="723" spans="1:5" x14ac:dyDescent="0.2">
      <c r="A723" s="205">
        <v>0.52777777777777779</v>
      </c>
      <c r="B723" s="1" t="s">
        <v>1003</v>
      </c>
      <c r="C723" s="1" t="s">
        <v>53</v>
      </c>
      <c r="D723" s="1" t="s">
        <v>30</v>
      </c>
      <c r="E723" s="1">
        <v>260</v>
      </c>
    </row>
    <row r="724" spans="1:5" x14ac:dyDescent="0.2">
      <c r="A724" s="205">
        <v>0.52780092592592587</v>
      </c>
      <c r="B724" s="1" t="s">
        <v>1005</v>
      </c>
      <c r="C724" s="1" t="s">
        <v>53</v>
      </c>
      <c r="D724" s="1" t="s">
        <v>30</v>
      </c>
      <c r="E724" s="1">
        <v>-270</v>
      </c>
    </row>
    <row r="725" spans="1:5" x14ac:dyDescent="0.2">
      <c r="A725" s="205">
        <v>0.52781250000000002</v>
      </c>
      <c r="B725" s="1" t="s">
        <v>974</v>
      </c>
      <c r="C725" s="1">
        <v>47</v>
      </c>
      <c r="D725" s="1" t="s">
        <v>30</v>
      </c>
      <c r="E725" s="1">
        <v>-100</v>
      </c>
    </row>
    <row r="726" spans="1:5" x14ac:dyDescent="0.2">
      <c r="A726" s="205">
        <v>0.52783564814814821</v>
      </c>
      <c r="B726" s="1" t="s">
        <v>978</v>
      </c>
      <c r="C726" s="1">
        <v>47</v>
      </c>
      <c r="D726" s="1" t="s">
        <v>30</v>
      </c>
      <c r="E726" s="1">
        <v>-110</v>
      </c>
    </row>
    <row r="727" spans="1:5" x14ac:dyDescent="0.2">
      <c r="A727" s="205">
        <v>0.52785879629629628</v>
      </c>
      <c r="B727" s="1" t="s">
        <v>980</v>
      </c>
      <c r="C727" s="1">
        <v>52</v>
      </c>
      <c r="D727" s="1" t="s">
        <v>30</v>
      </c>
      <c r="E727" s="1">
        <v>-120</v>
      </c>
    </row>
    <row r="728" spans="1:5" x14ac:dyDescent="0.2">
      <c r="A728" s="205">
        <v>0.52799768518518519</v>
      </c>
      <c r="B728" s="1" t="s">
        <v>999</v>
      </c>
      <c r="C728" s="1" t="s">
        <v>53</v>
      </c>
      <c r="D728" s="1" t="s">
        <v>30</v>
      </c>
      <c r="E728" s="1">
        <v>210</v>
      </c>
    </row>
    <row r="729" spans="1:5" x14ac:dyDescent="0.2">
      <c r="A729" s="205">
        <v>0.52802083333333327</v>
      </c>
      <c r="B729" s="1" t="s">
        <v>1000</v>
      </c>
      <c r="C729" s="1" t="s">
        <v>53</v>
      </c>
      <c r="D729" s="1" t="s">
        <v>30</v>
      </c>
      <c r="E729" s="1">
        <v>220</v>
      </c>
    </row>
    <row r="730" spans="1:5" x14ac:dyDescent="0.2">
      <c r="A730" s="205">
        <v>0.52803240740740742</v>
      </c>
      <c r="B730" s="1" t="s">
        <v>998</v>
      </c>
      <c r="C730" s="1">
        <v>52</v>
      </c>
      <c r="D730" s="1" t="s">
        <v>30</v>
      </c>
      <c r="E730" s="1">
        <v>230</v>
      </c>
    </row>
    <row r="731" spans="1:5" x14ac:dyDescent="0.2">
      <c r="A731" s="205">
        <v>0.52804398148148146</v>
      </c>
      <c r="B731" s="1" t="s">
        <v>1002</v>
      </c>
      <c r="C731" s="1" t="s">
        <v>53</v>
      </c>
      <c r="D731" s="1" t="s">
        <v>30</v>
      </c>
      <c r="E731" s="1">
        <v>240</v>
      </c>
    </row>
    <row r="732" spans="1:5" x14ac:dyDescent="0.2">
      <c r="A732" s="205">
        <v>0.52805555555555561</v>
      </c>
      <c r="B732" s="1" t="s">
        <v>997</v>
      </c>
      <c r="C732" s="1" t="s">
        <v>53</v>
      </c>
      <c r="D732" s="1" t="s">
        <v>30</v>
      </c>
      <c r="E732" s="1">
        <v>250</v>
      </c>
    </row>
    <row r="733" spans="1:5" x14ac:dyDescent="0.2">
      <c r="A733" s="205">
        <v>0.52806712962962965</v>
      </c>
      <c r="B733" s="1" t="s">
        <v>1003</v>
      </c>
      <c r="C733" s="1" t="s">
        <v>53</v>
      </c>
      <c r="D733" s="1" t="s">
        <v>30</v>
      </c>
      <c r="E733" s="1">
        <v>260</v>
      </c>
    </row>
    <row r="734" spans="1:5" x14ac:dyDescent="0.2">
      <c r="A734" s="205">
        <v>0.52809027777777773</v>
      </c>
      <c r="B734" s="1" t="s">
        <v>1005</v>
      </c>
      <c r="C734" s="1" t="s">
        <v>53</v>
      </c>
      <c r="D734" s="1" t="s">
        <v>30</v>
      </c>
      <c r="E734" s="1">
        <v>270</v>
      </c>
    </row>
    <row r="735" spans="1:5" x14ac:dyDescent="0.2">
      <c r="A735" s="205">
        <v>0.52810185185185188</v>
      </c>
      <c r="B735" s="1" t="s">
        <v>1005</v>
      </c>
      <c r="C735" s="1" t="s">
        <v>53</v>
      </c>
      <c r="D735" s="1" t="s">
        <v>30</v>
      </c>
      <c r="E735" s="1">
        <v>270</v>
      </c>
    </row>
    <row r="736" spans="1:5" x14ac:dyDescent="0.2">
      <c r="A736" s="205">
        <v>0.52835648148148151</v>
      </c>
      <c r="B736" s="1" t="s">
        <v>999</v>
      </c>
      <c r="C736" s="1" t="s">
        <v>53</v>
      </c>
      <c r="D736" s="1" t="s">
        <v>29</v>
      </c>
      <c r="E736" s="1">
        <v>210</v>
      </c>
    </row>
    <row r="737" spans="1:6" x14ac:dyDescent="0.2">
      <c r="A737" s="205">
        <v>0.52836805555555555</v>
      </c>
      <c r="B737" s="1" t="s">
        <v>1000</v>
      </c>
      <c r="C737" s="1" t="s">
        <v>53</v>
      </c>
      <c r="D737" s="1" t="s">
        <v>29</v>
      </c>
      <c r="E737" s="1">
        <v>220</v>
      </c>
    </row>
    <row r="738" spans="1:6" x14ac:dyDescent="0.2">
      <c r="A738" s="205">
        <v>0.52839120370370374</v>
      </c>
      <c r="B738" s="1" t="s">
        <v>998</v>
      </c>
      <c r="C738" s="1">
        <v>52</v>
      </c>
      <c r="D738" s="1" t="s">
        <v>29</v>
      </c>
      <c r="E738" s="1">
        <v>230</v>
      </c>
    </row>
    <row r="739" spans="1:6" x14ac:dyDescent="0.2">
      <c r="A739" s="205">
        <v>0.52840277777777778</v>
      </c>
      <c r="B739" s="1" t="s">
        <v>1002</v>
      </c>
      <c r="C739" s="1" t="s">
        <v>53</v>
      </c>
      <c r="D739" s="1" t="s">
        <v>29</v>
      </c>
      <c r="E739" s="1">
        <v>240</v>
      </c>
    </row>
    <row r="740" spans="1:6" x14ac:dyDescent="0.2">
      <c r="A740" s="205">
        <v>0.52841435185185182</v>
      </c>
      <c r="B740" s="1" t="s">
        <v>997</v>
      </c>
      <c r="C740" s="1" t="s">
        <v>53</v>
      </c>
      <c r="D740" s="1" t="s">
        <v>29</v>
      </c>
      <c r="E740" s="1">
        <v>250</v>
      </c>
    </row>
    <row r="741" spans="1:6" x14ac:dyDescent="0.2">
      <c r="A741" s="205">
        <v>0.5284375</v>
      </c>
      <c r="B741" s="1" t="s">
        <v>1003</v>
      </c>
      <c r="C741" s="1" t="s">
        <v>53</v>
      </c>
      <c r="D741" s="1" t="s">
        <v>29</v>
      </c>
      <c r="E741" s="1">
        <v>260</v>
      </c>
    </row>
    <row r="742" spans="1:6" x14ac:dyDescent="0.2">
      <c r="A742" s="205">
        <v>0.52844907407407404</v>
      </c>
      <c r="B742" s="1" t="s">
        <v>1005</v>
      </c>
      <c r="C742" s="1" t="s">
        <v>53</v>
      </c>
      <c r="D742" s="1" t="s">
        <v>29</v>
      </c>
      <c r="E742" s="1">
        <v>270</v>
      </c>
    </row>
    <row r="743" spans="1:6" x14ac:dyDescent="0.2">
      <c r="A743" s="205">
        <v>0.52846064814814808</v>
      </c>
      <c r="B743" s="1" t="s">
        <v>1005</v>
      </c>
      <c r="C743" s="1" t="s">
        <v>53</v>
      </c>
      <c r="D743" s="1" t="s">
        <v>29</v>
      </c>
      <c r="E743" s="1">
        <v>270</v>
      </c>
    </row>
    <row r="744" spans="1:6" x14ac:dyDescent="0.2">
      <c r="A744" s="205">
        <v>0.52847222222222223</v>
      </c>
      <c r="B744" s="1" t="s">
        <v>1005</v>
      </c>
      <c r="C744" s="1" t="s">
        <v>53</v>
      </c>
      <c r="D744" s="1" t="s">
        <v>29</v>
      </c>
      <c r="E744" s="1">
        <v>270</v>
      </c>
    </row>
    <row r="745" spans="1:6" x14ac:dyDescent="0.2">
      <c r="A745" s="205">
        <v>0.52858796296296295</v>
      </c>
      <c r="B745" s="1" t="s">
        <v>999</v>
      </c>
      <c r="C745" s="1" t="s">
        <v>53</v>
      </c>
      <c r="D745" s="1" t="s">
        <v>27</v>
      </c>
      <c r="E745" s="1">
        <v>210</v>
      </c>
      <c r="F745" s="1">
        <v>630</v>
      </c>
    </row>
    <row r="746" spans="1:6" x14ac:dyDescent="0.2">
      <c r="A746" s="205">
        <v>0.52859953703703699</v>
      </c>
      <c r="B746" s="1" t="s">
        <v>1000</v>
      </c>
      <c r="C746" s="1" t="s">
        <v>53</v>
      </c>
      <c r="D746" s="1" t="s">
        <v>27</v>
      </c>
      <c r="E746" s="1">
        <v>220</v>
      </c>
      <c r="F746" s="1">
        <v>660</v>
      </c>
    </row>
    <row r="747" spans="1:6" x14ac:dyDescent="0.2">
      <c r="A747" s="205">
        <v>0.52862268518518518</v>
      </c>
      <c r="B747" s="1" t="s">
        <v>998</v>
      </c>
      <c r="C747" s="1">
        <v>52</v>
      </c>
      <c r="D747" s="1" t="s">
        <v>27</v>
      </c>
      <c r="E747" s="1">
        <v>230</v>
      </c>
      <c r="F747" s="1">
        <v>690</v>
      </c>
    </row>
    <row r="748" spans="1:6" x14ac:dyDescent="0.2">
      <c r="A748" s="205">
        <v>0.52863425925925933</v>
      </c>
      <c r="B748" s="1" t="s">
        <v>1002</v>
      </c>
      <c r="C748" s="1" t="s">
        <v>53</v>
      </c>
      <c r="D748" s="1" t="s">
        <v>27</v>
      </c>
      <c r="E748" s="1">
        <v>240</v>
      </c>
      <c r="F748" s="1">
        <v>720</v>
      </c>
    </row>
    <row r="749" spans="1:6" x14ac:dyDescent="0.2">
      <c r="A749" s="205">
        <v>0.52865740740740741</v>
      </c>
      <c r="B749" s="1" t="s">
        <v>997</v>
      </c>
      <c r="C749" s="1" t="s">
        <v>53</v>
      </c>
      <c r="D749" s="1" t="s">
        <v>27</v>
      </c>
      <c r="E749" s="1">
        <v>250</v>
      </c>
      <c r="F749" s="1">
        <v>750</v>
      </c>
    </row>
    <row r="750" spans="1:6" x14ac:dyDescent="0.2">
      <c r="A750" s="205">
        <v>0.52866898148148145</v>
      </c>
      <c r="B750" s="1" t="s">
        <v>1003</v>
      </c>
      <c r="C750" s="1" t="s">
        <v>53</v>
      </c>
      <c r="D750" s="1" t="s">
        <v>27</v>
      </c>
      <c r="E750" s="1">
        <v>260</v>
      </c>
      <c r="F750" s="1">
        <v>780</v>
      </c>
    </row>
    <row r="751" spans="1:6" x14ac:dyDescent="0.2">
      <c r="A751" s="205">
        <v>0.52868055555555549</v>
      </c>
      <c r="B751" s="1" t="s">
        <v>1005</v>
      </c>
      <c r="C751" s="1" t="s">
        <v>53</v>
      </c>
      <c r="D751" s="1" t="s">
        <v>27</v>
      </c>
      <c r="E751" s="1">
        <v>270</v>
      </c>
      <c r="F751" s="1">
        <v>810</v>
      </c>
    </row>
    <row r="752" spans="1:6" x14ac:dyDescent="0.2">
      <c r="A752" s="205">
        <v>0.52870370370370368</v>
      </c>
      <c r="B752" s="1" t="s">
        <v>1005</v>
      </c>
      <c r="C752" s="1" t="s">
        <v>53</v>
      </c>
      <c r="D752" s="1" t="s">
        <v>27</v>
      </c>
      <c r="E752" s="1">
        <v>270</v>
      </c>
      <c r="F752" s="1">
        <v>810</v>
      </c>
    </row>
    <row r="753" spans="1:5" x14ac:dyDescent="0.2">
      <c r="A753" s="205">
        <v>0.87754629629629621</v>
      </c>
      <c r="B753" s="1" t="s">
        <v>1009</v>
      </c>
      <c r="C753" s="1">
        <v>47</v>
      </c>
      <c r="D753" s="1" t="s">
        <v>27</v>
      </c>
      <c r="E753" s="1">
        <v>100</v>
      </c>
    </row>
    <row r="754" spans="1:5" x14ac:dyDescent="0.2">
      <c r="A754" s="205">
        <v>0.87755787037037036</v>
      </c>
      <c r="B754" s="1" t="s">
        <v>1010</v>
      </c>
      <c r="C754" s="1">
        <v>47</v>
      </c>
      <c r="D754" s="1" t="s">
        <v>27</v>
      </c>
      <c r="E754" s="1">
        <v>-110</v>
      </c>
    </row>
    <row r="755" spans="1:5" x14ac:dyDescent="0.2">
      <c r="A755" s="205">
        <v>0.87756944444444451</v>
      </c>
      <c r="B755" s="1" t="s">
        <v>1013</v>
      </c>
      <c r="C755" s="1">
        <v>52</v>
      </c>
      <c r="D755" s="1" t="s">
        <v>27</v>
      </c>
      <c r="E755" s="1">
        <v>120</v>
      </c>
    </row>
    <row r="756" spans="1:5" x14ac:dyDescent="0.2">
      <c r="A756" s="205">
        <v>0.87758101851851855</v>
      </c>
      <c r="B756" s="1" t="s">
        <v>1017</v>
      </c>
      <c r="C756" s="1">
        <v>57</v>
      </c>
      <c r="D756" s="1" t="s">
        <v>27</v>
      </c>
      <c r="E756" s="1">
        <v>-130</v>
      </c>
    </row>
    <row r="757" spans="1:5" x14ac:dyDescent="0.2">
      <c r="A757" s="205">
        <v>0.87760416666666663</v>
      </c>
      <c r="B757" s="1" t="s">
        <v>1018</v>
      </c>
      <c r="C757" s="1">
        <v>72</v>
      </c>
      <c r="D757" s="1" t="s">
        <v>27</v>
      </c>
      <c r="E757" s="1">
        <v>140</v>
      </c>
    </row>
    <row r="758" spans="1:5" x14ac:dyDescent="0.2">
      <c r="A758" s="205">
        <v>0.87761574074074078</v>
      </c>
      <c r="B758" s="1" t="s">
        <v>1021</v>
      </c>
      <c r="C758" s="1">
        <v>63</v>
      </c>
      <c r="D758" s="1" t="s">
        <v>27</v>
      </c>
      <c r="E758" s="1">
        <v>-150</v>
      </c>
    </row>
    <row r="759" spans="1:5" x14ac:dyDescent="0.2">
      <c r="A759" s="205">
        <v>0.87762731481481471</v>
      </c>
      <c r="B759" s="1" t="s">
        <v>1023</v>
      </c>
      <c r="C759" s="1">
        <v>57</v>
      </c>
      <c r="D759" s="1" t="s">
        <v>27</v>
      </c>
      <c r="E759" s="1">
        <v>160</v>
      </c>
    </row>
    <row r="760" spans="1:5" x14ac:dyDescent="0.2">
      <c r="A760" s="205">
        <v>0.87763888888888886</v>
      </c>
      <c r="B760" s="1" t="s">
        <v>1024</v>
      </c>
      <c r="C760" s="1">
        <v>74</v>
      </c>
      <c r="D760" s="1" t="s">
        <v>27</v>
      </c>
      <c r="E760" s="1">
        <v>-170</v>
      </c>
    </row>
    <row r="761" spans="1:5" x14ac:dyDescent="0.2">
      <c r="A761" s="205">
        <v>0.87766203703703705</v>
      </c>
      <c r="B761" s="1" t="s">
        <v>1026</v>
      </c>
      <c r="C761" s="1">
        <v>83</v>
      </c>
      <c r="D761" s="1" t="s">
        <v>27</v>
      </c>
      <c r="E761" s="1">
        <v>180</v>
      </c>
    </row>
    <row r="762" spans="1:5" x14ac:dyDescent="0.2">
      <c r="A762" s="205">
        <v>0.87767361111111108</v>
      </c>
      <c r="B762" s="1" t="s">
        <v>1027</v>
      </c>
      <c r="C762" s="1">
        <v>83</v>
      </c>
      <c r="D762" s="1" t="s">
        <v>27</v>
      </c>
      <c r="E762" s="1">
        <v>-190</v>
      </c>
    </row>
    <row r="763" spans="1:5" x14ac:dyDescent="0.2">
      <c r="A763" s="205">
        <v>0.87768518518518512</v>
      </c>
      <c r="B763" s="1" t="s">
        <v>1028</v>
      </c>
      <c r="C763" s="1">
        <v>83</v>
      </c>
      <c r="D763" s="1" t="s">
        <v>27</v>
      </c>
      <c r="E763" s="1">
        <v>200</v>
      </c>
    </row>
    <row r="764" spans="1:5" x14ac:dyDescent="0.2">
      <c r="A764" s="205">
        <v>0.87800925925925932</v>
      </c>
      <c r="B764" s="1" t="s">
        <v>1009</v>
      </c>
      <c r="C764" s="1">
        <v>47</v>
      </c>
      <c r="D764" s="1" t="s">
        <v>31</v>
      </c>
      <c r="E764" s="1">
        <v>110</v>
      </c>
    </row>
    <row r="765" spans="1:5" x14ac:dyDescent="0.2">
      <c r="A765" s="205">
        <v>0.87802083333333336</v>
      </c>
      <c r="B765" s="1" t="s">
        <v>1010</v>
      </c>
      <c r="C765" s="1">
        <v>47</v>
      </c>
      <c r="D765" s="1" t="s">
        <v>31</v>
      </c>
      <c r="E765" s="1">
        <v>120</v>
      </c>
    </row>
    <row r="766" spans="1:5" x14ac:dyDescent="0.2">
      <c r="A766" s="205">
        <v>0.8780324074074074</v>
      </c>
      <c r="B766" s="1" t="s">
        <v>1013</v>
      </c>
      <c r="C766" s="1">
        <v>52</v>
      </c>
      <c r="D766" s="1" t="s">
        <v>31</v>
      </c>
      <c r="E766" s="1">
        <v>130</v>
      </c>
    </row>
    <row r="767" spans="1:5" x14ac:dyDescent="0.2">
      <c r="A767" s="205">
        <v>0.87804398148148144</v>
      </c>
      <c r="B767" s="1" t="s">
        <v>1017</v>
      </c>
      <c r="C767" s="1">
        <v>57</v>
      </c>
      <c r="D767" s="1" t="s">
        <v>31</v>
      </c>
      <c r="E767" s="1">
        <v>140</v>
      </c>
    </row>
    <row r="768" spans="1:5" x14ac:dyDescent="0.2">
      <c r="A768" s="205">
        <v>0.87806712962962974</v>
      </c>
      <c r="B768" s="1" t="s">
        <v>1018</v>
      </c>
      <c r="C768" s="1">
        <v>72</v>
      </c>
      <c r="D768" s="1" t="s">
        <v>31</v>
      </c>
      <c r="E768" s="1">
        <v>150</v>
      </c>
    </row>
    <row r="769" spans="1:5" x14ac:dyDescent="0.2">
      <c r="A769" s="205">
        <v>0.87807870370370367</v>
      </c>
      <c r="B769" s="1" t="s">
        <v>1021</v>
      </c>
      <c r="C769" s="1">
        <v>63</v>
      </c>
      <c r="D769" s="1" t="s">
        <v>31</v>
      </c>
      <c r="E769" s="1">
        <v>160</v>
      </c>
    </row>
    <row r="770" spans="1:5" x14ac:dyDescent="0.2">
      <c r="A770" s="205">
        <v>0.87809027777777782</v>
      </c>
      <c r="B770" s="1" t="s">
        <v>1023</v>
      </c>
      <c r="C770" s="1">
        <v>57</v>
      </c>
      <c r="D770" s="1" t="s">
        <v>31</v>
      </c>
      <c r="E770" s="1">
        <v>170</v>
      </c>
    </row>
    <row r="771" spans="1:5" x14ac:dyDescent="0.2">
      <c r="A771" s="205">
        <v>0.87810185185185186</v>
      </c>
      <c r="B771" s="1" t="s">
        <v>1024</v>
      </c>
      <c r="C771" s="1">
        <v>74</v>
      </c>
      <c r="D771" s="1" t="s">
        <v>31</v>
      </c>
      <c r="E771" s="1">
        <v>180</v>
      </c>
    </row>
    <row r="772" spans="1:5" x14ac:dyDescent="0.2">
      <c r="A772" s="205">
        <v>0.87811342592592589</v>
      </c>
      <c r="B772" s="1" t="s">
        <v>1026</v>
      </c>
      <c r="C772" s="1">
        <v>83</v>
      </c>
      <c r="D772" s="1" t="s">
        <v>31</v>
      </c>
      <c r="E772" s="1">
        <v>190</v>
      </c>
    </row>
    <row r="773" spans="1:5" x14ac:dyDescent="0.2">
      <c r="A773" s="205">
        <v>0.87813657407407408</v>
      </c>
      <c r="B773" s="1" t="s">
        <v>1027</v>
      </c>
      <c r="C773" s="1">
        <v>83</v>
      </c>
      <c r="D773" s="1" t="s">
        <v>31</v>
      </c>
      <c r="E773" s="1">
        <v>200</v>
      </c>
    </row>
    <row r="774" spans="1:5" x14ac:dyDescent="0.2">
      <c r="A774" s="205">
        <v>0.87814814814814823</v>
      </c>
      <c r="B774" s="1" t="s">
        <v>1028</v>
      </c>
      <c r="C774" s="1">
        <v>83</v>
      </c>
      <c r="D774" s="1" t="s">
        <v>31</v>
      </c>
      <c r="E774" s="1">
        <v>210</v>
      </c>
    </row>
    <row r="775" spans="1:5" x14ac:dyDescent="0.2">
      <c r="A775" s="205">
        <v>0.87839120370370372</v>
      </c>
      <c r="B775" s="1" t="s">
        <v>1029</v>
      </c>
      <c r="C775" s="1">
        <v>120</v>
      </c>
      <c r="D775" s="1" t="s">
        <v>27</v>
      </c>
      <c r="E775" s="1">
        <v>210</v>
      </c>
    </row>
    <row r="776" spans="1:5" x14ac:dyDescent="0.2">
      <c r="A776" s="205">
        <v>0.87840277777777775</v>
      </c>
      <c r="B776" s="1" t="s">
        <v>1031</v>
      </c>
      <c r="C776" s="1" t="s">
        <v>52</v>
      </c>
      <c r="D776" s="1" t="s">
        <v>27</v>
      </c>
      <c r="E776" s="1">
        <v>220</v>
      </c>
    </row>
    <row r="777" spans="1:5" x14ac:dyDescent="0.2">
      <c r="A777" s="205">
        <v>0.8784143518518519</v>
      </c>
      <c r="B777" s="1" t="s">
        <v>1032</v>
      </c>
      <c r="C777" s="1">
        <v>59</v>
      </c>
      <c r="D777" s="1" t="s">
        <v>27</v>
      </c>
      <c r="E777" s="1">
        <v>230</v>
      </c>
    </row>
    <row r="778" spans="1:5" x14ac:dyDescent="0.2">
      <c r="A778" s="205">
        <v>0.87842592592592583</v>
      </c>
      <c r="B778" s="1" t="s">
        <v>1033</v>
      </c>
      <c r="C778" s="1">
        <v>120</v>
      </c>
      <c r="D778" s="1" t="s">
        <v>27</v>
      </c>
      <c r="E778" s="1">
        <v>240</v>
      </c>
    </row>
    <row r="779" spans="1:5" x14ac:dyDescent="0.2">
      <c r="A779" s="205">
        <v>0.87844907407407413</v>
      </c>
      <c r="B779" s="1" t="s">
        <v>1035</v>
      </c>
      <c r="C779" s="1">
        <v>93</v>
      </c>
      <c r="D779" s="1" t="s">
        <v>27</v>
      </c>
      <c r="E779" s="1">
        <v>250</v>
      </c>
    </row>
    <row r="780" spans="1:5" x14ac:dyDescent="0.2">
      <c r="A780" s="205">
        <v>0.87846064814814817</v>
      </c>
      <c r="B780" s="1" t="s">
        <v>1036</v>
      </c>
      <c r="C780" s="1" t="s">
        <v>52</v>
      </c>
      <c r="D780" s="1" t="s">
        <v>27</v>
      </c>
      <c r="E780" s="1">
        <v>260</v>
      </c>
    </row>
    <row r="781" spans="1:5" x14ac:dyDescent="0.2">
      <c r="A781" s="205">
        <v>0.87847222222222221</v>
      </c>
      <c r="B781" s="1" t="s">
        <v>1038</v>
      </c>
      <c r="C781" s="1" t="s">
        <v>52</v>
      </c>
      <c r="D781" s="1" t="s">
        <v>27</v>
      </c>
      <c r="E781" s="1">
        <v>270</v>
      </c>
    </row>
    <row r="782" spans="1:5" x14ac:dyDescent="0.2">
      <c r="A782" s="205">
        <v>0.87873842592592588</v>
      </c>
      <c r="B782" s="1" t="s">
        <v>1009</v>
      </c>
      <c r="C782" s="1">
        <v>47</v>
      </c>
      <c r="D782" s="1" t="s">
        <v>29</v>
      </c>
      <c r="E782" s="1">
        <v>100</v>
      </c>
    </row>
    <row r="783" spans="1:5" x14ac:dyDescent="0.2">
      <c r="A783" s="205">
        <v>0.87875000000000003</v>
      </c>
      <c r="B783" s="1" t="s">
        <v>1010</v>
      </c>
      <c r="C783" s="1">
        <v>47</v>
      </c>
      <c r="D783" s="1" t="s">
        <v>29</v>
      </c>
      <c r="E783" s="1">
        <v>110</v>
      </c>
    </row>
    <row r="784" spans="1:5" x14ac:dyDescent="0.2">
      <c r="A784" s="205">
        <v>0.87877314814814822</v>
      </c>
      <c r="B784" s="1" t="s">
        <v>1013</v>
      </c>
      <c r="C784" s="1">
        <v>52</v>
      </c>
      <c r="D784" s="1" t="s">
        <v>29</v>
      </c>
      <c r="E784" s="1">
        <v>120</v>
      </c>
    </row>
    <row r="785" spans="1:5" x14ac:dyDescent="0.2">
      <c r="A785" s="205">
        <v>0.87878472222222215</v>
      </c>
      <c r="B785" s="1" t="s">
        <v>1017</v>
      </c>
      <c r="C785" s="1">
        <v>57</v>
      </c>
      <c r="D785" s="1" t="s">
        <v>29</v>
      </c>
      <c r="E785" s="1">
        <v>130</v>
      </c>
    </row>
    <row r="786" spans="1:5" x14ac:dyDescent="0.2">
      <c r="A786" s="205">
        <v>0.8787962962962963</v>
      </c>
      <c r="B786" s="1" t="s">
        <v>1018</v>
      </c>
      <c r="C786" s="1">
        <v>72</v>
      </c>
      <c r="D786" s="1" t="s">
        <v>29</v>
      </c>
      <c r="E786" s="1">
        <v>140</v>
      </c>
    </row>
    <row r="787" spans="1:5" x14ac:dyDescent="0.2">
      <c r="A787" s="205">
        <v>0.87880787037037045</v>
      </c>
      <c r="B787" s="1" t="s">
        <v>1021</v>
      </c>
      <c r="C787" s="1">
        <v>63</v>
      </c>
      <c r="D787" s="1" t="s">
        <v>29</v>
      </c>
      <c r="E787" s="1">
        <v>150</v>
      </c>
    </row>
    <row r="788" spans="1:5" x14ac:dyDescent="0.2">
      <c r="A788" s="205">
        <v>0.87881944444444438</v>
      </c>
      <c r="B788" s="1" t="s">
        <v>1023</v>
      </c>
      <c r="C788" s="1">
        <v>57</v>
      </c>
      <c r="D788" s="1" t="s">
        <v>29</v>
      </c>
      <c r="E788" s="1">
        <v>160</v>
      </c>
    </row>
    <row r="789" spans="1:5" x14ac:dyDescent="0.2">
      <c r="A789" s="205">
        <v>0.87884259259259256</v>
      </c>
      <c r="B789" s="1" t="s">
        <v>1024</v>
      </c>
      <c r="C789" s="1">
        <v>74</v>
      </c>
      <c r="D789" s="1" t="s">
        <v>29</v>
      </c>
      <c r="E789" s="1">
        <v>170</v>
      </c>
    </row>
    <row r="790" spans="1:5" x14ac:dyDescent="0.2">
      <c r="A790" s="205">
        <v>0.87885416666666671</v>
      </c>
      <c r="B790" s="1" t="s">
        <v>1026</v>
      </c>
      <c r="C790" s="1">
        <v>83</v>
      </c>
      <c r="D790" s="1" t="s">
        <v>29</v>
      </c>
      <c r="E790" s="1">
        <v>180</v>
      </c>
    </row>
    <row r="791" spans="1:5" x14ac:dyDescent="0.2">
      <c r="A791" s="205">
        <v>0.87886574074074064</v>
      </c>
      <c r="B791" s="1" t="s">
        <v>1027</v>
      </c>
      <c r="C791" s="1">
        <v>83</v>
      </c>
      <c r="D791" s="1" t="s">
        <v>29</v>
      </c>
      <c r="E791" s="1">
        <v>190</v>
      </c>
    </row>
    <row r="792" spans="1:5" x14ac:dyDescent="0.2">
      <c r="A792" s="205">
        <v>0.87887731481481479</v>
      </c>
      <c r="B792" s="1" t="s">
        <v>1028</v>
      </c>
      <c r="C792" s="1">
        <v>83</v>
      </c>
      <c r="D792" s="1" t="s">
        <v>29</v>
      </c>
      <c r="E792" s="1">
        <v>200</v>
      </c>
    </row>
    <row r="793" spans="1:5" x14ac:dyDescent="0.2">
      <c r="A793" s="205">
        <v>0.87888888888888894</v>
      </c>
      <c r="B793" s="1" t="s">
        <v>1028</v>
      </c>
      <c r="C793" s="1">
        <v>83</v>
      </c>
      <c r="D793" s="1" t="s">
        <v>29</v>
      </c>
      <c r="E793" s="1">
        <v>200</v>
      </c>
    </row>
    <row r="794" spans="1:5" x14ac:dyDescent="0.2">
      <c r="A794" s="205">
        <v>0.8790162037037037</v>
      </c>
      <c r="B794" s="1" t="s">
        <v>1029</v>
      </c>
      <c r="C794" s="1">
        <v>120</v>
      </c>
      <c r="D794" s="1" t="s">
        <v>29</v>
      </c>
      <c r="E794" s="1">
        <v>210</v>
      </c>
    </row>
    <row r="795" spans="1:5" x14ac:dyDescent="0.2">
      <c r="A795" s="205">
        <v>0.87902777777777785</v>
      </c>
      <c r="B795" s="1" t="s">
        <v>1031</v>
      </c>
      <c r="C795" s="1" t="s">
        <v>52</v>
      </c>
      <c r="D795" s="1" t="s">
        <v>29</v>
      </c>
      <c r="E795" s="1">
        <v>220</v>
      </c>
    </row>
    <row r="796" spans="1:5" x14ac:dyDescent="0.2">
      <c r="A796" s="205">
        <v>0.87903935185185178</v>
      </c>
      <c r="B796" s="1" t="s">
        <v>1032</v>
      </c>
      <c r="C796" s="1">
        <v>59</v>
      </c>
      <c r="D796" s="1" t="s">
        <v>29</v>
      </c>
      <c r="E796" s="1">
        <v>230</v>
      </c>
    </row>
    <row r="797" spans="1:5" x14ac:dyDescent="0.2">
      <c r="A797" s="205">
        <v>0.87905092592592593</v>
      </c>
      <c r="B797" s="1" t="s">
        <v>1033</v>
      </c>
      <c r="C797" s="1">
        <v>120</v>
      </c>
      <c r="D797" s="1" t="s">
        <v>29</v>
      </c>
      <c r="E797" s="1">
        <v>240</v>
      </c>
    </row>
    <row r="798" spans="1:5" x14ac:dyDescent="0.2">
      <c r="A798" s="205">
        <v>0.87906249999999997</v>
      </c>
      <c r="B798" s="1" t="s">
        <v>1035</v>
      </c>
      <c r="C798" s="1">
        <v>93</v>
      </c>
      <c r="D798" s="1" t="s">
        <v>29</v>
      </c>
      <c r="E798" s="1">
        <v>250</v>
      </c>
    </row>
    <row r="799" spans="1:5" x14ac:dyDescent="0.2">
      <c r="A799" s="205">
        <v>0.87908564814814805</v>
      </c>
      <c r="B799" s="1" t="s">
        <v>1036</v>
      </c>
      <c r="C799" s="1" t="s">
        <v>52</v>
      </c>
      <c r="D799" s="1" t="s">
        <v>29</v>
      </c>
      <c r="E799" s="1">
        <v>260</v>
      </c>
    </row>
    <row r="800" spans="1:5" x14ac:dyDescent="0.2">
      <c r="A800" s="205">
        <v>0.8790972222222222</v>
      </c>
      <c r="B800" s="1" t="s">
        <v>1038</v>
      </c>
      <c r="C800" s="1" t="s">
        <v>52</v>
      </c>
      <c r="D800" s="1" t="s">
        <v>29</v>
      </c>
      <c r="E800" s="1">
        <v>270</v>
      </c>
    </row>
    <row r="801" spans="1:6" x14ac:dyDescent="0.2">
      <c r="A801" s="205">
        <v>0.87910879629629635</v>
      </c>
      <c r="B801" s="1" t="s">
        <v>1038</v>
      </c>
      <c r="C801" s="1" t="s">
        <v>52</v>
      </c>
      <c r="D801" s="1" t="s">
        <v>29</v>
      </c>
      <c r="E801" s="1">
        <v>270</v>
      </c>
    </row>
    <row r="802" spans="1:6" x14ac:dyDescent="0.2">
      <c r="A802" s="205">
        <v>0.87912037037037039</v>
      </c>
      <c r="B802" s="1" t="s">
        <v>1038</v>
      </c>
      <c r="C802" s="1" t="s">
        <v>52</v>
      </c>
      <c r="D802" s="1" t="s">
        <v>29</v>
      </c>
      <c r="E802" s="1">
        <v>270</v>
      </c>
    </row>
    <row r="803" spans="1:6" x14ac:dyDescent="0.2">
      <c r="A803" s="205">
        <v>0.87932870370370375</v>
      </c>
      <c r="B803" s="1" t="s">
        <v>1009</v>
      </c>
      <c r="C803" s="1">
        <v>47</v>
      </c>
      <c r="D803" s="1" t="s">
        <v>30</v>
      </c>
      <c r="E803" s="1">
        <v>100</v>
      </c>
      <c r="F803" s="1">
        <v>310</v>
      </c>
    </row>
    <row r="804" spans="1:6" x14ac:dyDescent="0.2">
      <c r="A804" s="205">
        <v>0.87934027777777779</v>
      </c>
      <c r="B804" s="1" t="s">
        <v>1010</v>
      </c>
      <c r="C804" s="1">
        <v>47</v>
      </c>
      <c r="D804" s="1" t="s">
        <v>30</v>
      </c>
      <c r="E804" s="1">
        <v>110</v>
      </c>
      <c r="F804" s="1">
        <v>340</v>
      </c>
    </row>
    <row r="805" spans="1:6" x14ac:dyDescent="0.2">
      <c r="A805" s="205">
        <v>0.87935185185185183</v>
      </c>
      <c r="B805" s="1" t="s">
        <v>1013</v>
      </c>
      <c r="C805" s="1">
        <v>52</v>
      </c>
      <c r="D805" s="1" t="s">
        <v>30</v>
      </c>
      <c r="E805" s="1">
        <v>120</v>
      </c>
      <c r="F805" s="1">
        <v>370</v>
      </c>
    </row>
    <row r="806" spans="1:6" x14ac:dyDescent="0.2">
      <c r="A806" s="205">
        <v>0.87937500000000002</v>
      </c>
      <c r="B806" s="1" t="s">
        <v>1017</v>
      </c>
      <c r="C806" s="1">
        <v>57</v>
      </c>
      <c r="D806" s="1" t="s">
        <v>30</v>
      </c>
      <c r="E806" s="1">
        <v>130</v>
      </c>
      <c r="F806" s="1">
        <v>400</v>
      </c>
    </row>
    <row r="807" spans="1:6" x14ac:dyDescent="0.2">
      <c r="A807" s="205">
        <v>0.87938657407407417</v>
      </c>
      <c r="B807" s="1" t="s">
        <v>1018</v>
      </c>
      <c r="C807" s="1">
        <v>72</v>
      </c>
      <c r="D807" s="1" t="s">
        <v>30</v>
      </c>
      <c r="E807" s="1">
        <v>140</v>
      </c>
      <c r="F807" s="1">
        <v>430</v>
      </c>
    </row>
    <row r="808" spans="1:6" x14ac:dyDescent="0.2">
      <c r="A808" s="205">
        <v>0.8793981481481481</v>
      </c>
      <c r="B808" s="1" t="s">
        <v>1021</v>
      </c>
      <c r="C808" s="1">
        <v>63</v>
      </c>
      <c r="D808" s="1" t="s">
        <v>30</v>
      </c>
      <c r="E808" s="1">
        <v>150</v>
      </c>
      <c r="F808" s="1">
        <v>460</v>
      </c>
    </row>
    <row r="809" spans="1:6" x14ac:dyDescent="0.2">
      <c r="A809" s="205">
        <v>0.87940972222222225</v>
      </c>
      <c r="B809" s="1" t="s">
        <v>1023</v>
      </c>
      <c r="C809" s="1">
        <v>57</v>
      </c>
      <c r="D809" s="1" t="s">
        <v>30</v>
      </c>
      <c r="E809" s="1">
        <v>160</v>
      </c>
      <c r="F809" s="1">
        <v>490</v>
      </c>
    </row>
    <row r="810" spans="1:6" x14ac:dyDescent="0.2">
      <c r="A810" s="205">
        <v>0.87942129629629628</v>
      </c>
      <c r="B810" s="1" t="s">
        <v>1024</v>
      </c>
      <c r="C810" s="1">
        <v>74</v>
      </c>
      <c r="D810" s="1" t="s">
        <v>30</v>
      </c>
      <c r="E810" s="1">
        <v>170</v>
      </c>
      <c r="F810" s="1">
        <v>520</v>
      </c>
    </row>
    <row r="811" spans="1:6" x14ac:dyDescent="0.2">
      <c r="A811" s="205">
        <v>0.87943287037037043</v>
      </c>
      <c r="B811" s="1" t="s">
        <v>1026</v>
      </c>
      <c r="C811" s="1">
        <v>83</v>
      </c>
      <c r="D811" s="1" t="s">
        <v>30</v>
      </c>
      <c r="E811" s="1">
        <v>180</v>
      </c>
      <c r="F811" s="1">
        <v>550</v>
      </c>
    </row>
    <row r="812" spans="1:6" x14ac:dyDescent="0.2">
      <c r="A812" s="205">
        <v>0.87953703703703701</v>
      </c>
      <c r="B812" s="1" t="s">
        <v>1027</v>
      </c>
      <c r="C812" s="1">
        <v>83</v>
      </c>
      <c r="D812" s="1" t="s">
        <v>30</v>
      </c>
      <c r="E812" s="1">
        <v>190</v>
      </c>
      <c r="F812" s="1">
        <v>580</v>
      </c>
    </row>
    <row r="813" spans="1:6" x14ac:dyDescent="0.2">
      <c r="A813" s="205">
        <v>0.87954861111111116</v>
      </c>
      <c r="B813" s="1" t="s">
        <v>1028</v>
      </c>
      <c r="C813" s="1">
        <v>83</v>
      </c>
      <c r="D813" s="1" t="s">
        <v>30</v>
      </c>
      <c r="E813" s="1">
        <v>200</v>
      </c>
      <c r="F813" s="1">
        <v>610</v>
      </c>
    </row>
    <row r="814" spans="1:6" x14ac:dyDescent="0.2">
      <c r="A814" s="205">
        <v>0.87968750000000007</v>
      </c>
      <c r="B814" s="1" t="s">
        <v>1029</v>
      </c>
      <c r="C814" s="1">
        <v>120</v>
      </c>
      <c r="D814" s="1" t="s">
        <v>30</v>
      </c>
      <c r="E814" s="1">
        <v>210</v>
      </c>
      <c r="F814" s="1">
        <v>630</v>
      </c>
    </row>
    <row r="815" spans="1:6" x14ac:dyDescent="0.2">
      <c r="A815" s="205">
        <v>0.87969907407407411</v>
      </c>
      <c r="B815" s="1" t="s">
        <v>1031</v>
      </c>
      <c r="C815" s="1" t="s">
        <v>52</v>
      </c>
      <c r="D815" s="1" t="s">
        <v>30</v>
      </c>
      <c r="E815" s="1">
        <v>220</v>
      </c>
      <c r="F815" s="1">
        <v>660</v>
      </c>
    </row>
    <row r="816" spans="1:6" x14ac:dyDescent="0.2">
      <c r="A816" s="205">
        <v>0.87971064814814814</v>
      </c>
      <c r="B816" s="1" t="s">
        <v>1032</v>
      </c>
      <c r="C816" s="1">
        <v>59</v>
      </c>
      <c r="D816" s="1" t="s">
        <v>30</v>
      </c>
      <c r="E816" s="1">
        <v>230</v>
      </c>
      <c r="F816" s="1">
        <v>690</v>
      </c>
    </row>
    <row r="817" spans="1:6" x14ac:dyDescent="0.2">
      <c r="A817" s="205">
        <v>0.87972222222222218</v>
      </c>
      <c r="B817" s="1" t="s">
        <v>1033</v>
      </c>
      <c r="C817" s="1">
        <v>120</v>
      </c>
      <c r="D817" s="1" t="s">
        <v>30</v>
      </c>
      <c r="E817" s="1">
        <v>240</v>
      </c>
      <c r="F817" s="1">
        <v>720</v>
      </c>
    </row>
    <row r="818" spans="1:6" x14ac:dyDescent="0.2">
      <c r="A818" s="205">
        <v>0.87973379629629633</v>
      </c>
      <c r="B818" s="1" t="s">
        <v>1035</v>
      </c>
      <c r="C818" s="1">
        <v>93</v>
      </c>
      <c r="D818" s="1" t="s">
        <v>30</v>
      </c>
      <c r="E818" s="1">
        <v>250</v>
      </c>
      <c r="F818" s="1">
        <v>750</v>
      </c>
    </row>
    <row r="819" spans="1:6" x14ac:dyDescent="0.2">
      <c r="A819" s="205">
        <v>0.87975694444444441</v>
      </c>
      <c r="B819" s="1" t="s">
        <v>1036</v>
      </c>
      <c r="C819" s="1" t="s">
        <v>52</v>
      </c>
      <c r="D819" s="1" t="s">
        <v>30</v>
      </c>
      <c r="E819" s="1">
        <v>260</v>
      </c>
      <c r="F819" s="1">
        <v>780</v>
      </c>
    </row>
    <row r="820" spans="1:6" x14ac:dyDescent="0.2">
      <c r="A820" s="205">
        <v>0.87976851851851856</v>
      </c>
      <c r="B820" s="1" t="s">
        <v>1038</v>
      </c>
      <c r="C820" s="1" t="s">
        <v>52</v>
      </c>
      <c r="D820" s="1" t="s">
        <v>30</v>
      </c>
      <c r="E820" s="1">
        <v>270</v>
      </c>
      <c r="F820" s="1">
        <v>810</v>
      </c>
    </row>
    <row r="821" spans="1:6" x14ac:dyDescent="0.2">
      <c r="A821" s="205">
        <v>0.8797800925925926</v>
      </c>
      <c r="B821" s="1" t="s">
        <v>1038</v>
      </c>
      <c r="C821" s="1" t="s">
        <v>52</v>
      </c>
      <c r="D821" s="1" t="s">
        <v>30</v>
      </c>
      <c r="E821" s="1">
        <v>270</v>
      </c>
      <c r="F821" s="1">
        <v>810</v>
      </c>
    </row>
    <row r="822" spans="1:6" x14ac:dyDescent="0.2">
      <c r="A822" s="205">
        <v>0.89067129629629627</v>
      </c>
      <c r="B822" s="1" t="s">
        <v>1009</v>
      </c>
      <c r="C822" s="1">
        <v>47</v>
      </c>
      <c r="D822" s="1" t="s">
        <v>27</v>
      </c>
      <c r="E822" s="1">
        <v>100</v>
      </c>
    </row>
    <row r="823" spans="1:6" x14ac:dyDescent="0.2">
      <c r="A823" s="205">
        <v>0.89068287037037042</v>
      </c>
      <c r="B823" s="1" t="s">
        <v>1010</v>
      </c>
      <c r="C823" s="1">
        <v>47</v>
      </c>
      <c r="D823" s="1" t="s">
        <v>27</v>
      </c>
      <c r="E823" s="1">
        <v>110</v>
      </c>
    </row>
    <row r="824" spans="1:6" x14ac:dyDescent="0.2">
      <c r="A824" s="205">
        <v>0.89069444444444434</v>
      </c>
      <c r="B824" s="1" t="s">
        <v>1013</v>
      </c>
      <c r="C824" s="1">
        <v>52</v>
      </c>
      <c r="D824" s="1" t="s">
        <v>27</v>
      </c>
      <c r="E824" s="1">
        <v>120</v>
      </c>
    </row>
    <row r="825" spans="1:6" x14ac:dyDescent="0.2">
      <c r="A825" s="205">
        <v>0.89070601851851849</v>
      </c>
      <c r="B825" s="1" t="s">
        <v>1017</v>
      </c>
      <c r="C825" s="1">
        <v>57</v>
      </c>
      <c r="D825" s="1" t="s">
        <v>27</v>
      </c>
      <c r="E825" s="1">
        <v>130</v>
      </c>
    </row>
    <row r="826" spans="1:6" x14ac:dyDescent="0.2">
      <c r="A826" s="205">
        <v>0.89070601851851849</v>
      </c>
      <c r="B826" s="1" t="s">
        <v>1018</v>
      </c>
      <c r="C826" s="1">
        <v>72</v>
      </c>
      <c r="D826" s="1" t="s">
        <v>27</v>
      </c>
      <c r="E826" s="1">
        <v>140</v>
      </c>
    </row>
    <row r="827" spans="1:6" x14ac:dyDescent="0.2">
      <c r="A827" s="205">
        <v>0.89071759259259264</v>
      </c>
      <c r="B827" s="1" t="s">
        <v>1021</v>
      </c>
      <c r="C827" s="1">
        <v>63</v>
      </c>
      <c r="D827" s="1" t="s">
        <v>27</v>
      </c>
      <c r="E827" s="1">
        <v>150</v>
      </c>
    </row>
    <row r="828" spans="1:6" x14ac:dyDescent="0.2">
      <c r="A828" s="205">
        <v>0.89072916666666668</v>
      </c>
      <c r="B828" s="1" t="s">
        <v>1023</v>
      </c>
      <c r="C828" s="1">
        <v>57</v>
      </c>
      <c r="D828" s="1" t="s">
        <v>27</v>
      </c>
      <c r="E828" s="1">
        <v>160</v>
      </c>
    </row>
    <row r="829" spans="1:6" x14ac:dyDescent="0.2">
      <c r="A829" s="205">
        <v>0.89074074074074072</v>
      </c>
      <c r="B829" s="1" t="s">
        <v>1024</v>
      </c>
      <c r="C829" s="1">
        <v>72</v>
      </c>
      <c r="D829" s="1" t="s">
        <v>27</v>
      </c>
      <c r="E829" s="1">
        <v>170</v>
      </c>
    </row>
    <row r="830" spans="1:6" x14ac:dyDescent="0.2">
      <c r="A830" s="205">
        <v>0.89075231481481476</v>
      </c>
      <c r="B830" s="1" t="s">
        <v>1026</v>
      </c>
      <c r="C830" s="1">
        <v>84</v>
      </c>
      <c r="D830" s="1" t="s">
        <v>27</v>
      </c>
      <c r="E830" s="1">
        <v>180</v>
      </c>
    </row>
    <row r="831" spans="1:6" x14ac:dyDescent="0.2">
      <c r="A831" s="205">
        <v>0.89076388888888891</v>
      </c>
      <c r="B831" s="1" t="s">
        <v>1027</v>
      </c>
      <c r="C831" s="1">
        <v>84</v>
      </c>
      <c r="D831" s="1" t="s">
        <v>27</v>
      </c>
      <c r="E831" s="1">
        <v>190</v>
      </c>
    </row>
    <row r="832" spans="1:6" x14ac:dyDescent="0.2">
      <c r="A832" s="205">
        <v>0.89105324074074066</v>
      </c>
      <c r="B832" s="1" t="s">
        <v>1028</v>
      </c>
      <c r="C832" s="1">
        <v>84</v>
      </c>
      <c r="D832" s="1" t="s">
        <v>27</v>
      </c>
      <c r="E832" s="1">
        <v>200</v>
      </c>
    </row>
    <row r="833" spans="1:5" x14ac:dyDescent="0.2">
      <c r="A833" s="205">
        <v>0.89115740740740745</v>
      </c>
      <c r="B833" s="1" t="s">
        <v>1028</v>
      </c>
      <c r="C833" s="1">
        <v>84</v>
      </c>
      <c r="D833" s="1" t="s">
        <v>27</v>
      </c>
      <c r="E833" s="1">
        <v>200</v>
      </c>
    </row>
    <row r="834" spans="1:5" x14ac:dyDescent="0.2">
      <c r="A834" s="205">
        <v>0.89126157407407414</v>
      </c>
      <c r="B834" s="1" t="s">
        <v>1029</v>
      </c>
      <c r="C834" s="1" t="s">
        <v>53</v>
      </c>
      <c r="D834" s="1" t="s">
        <v>27</v>
      </c>
      <c r="E834" s="1">
        <v>210</v>
      </c>
    </row>
    <row r="835" spans="1:5" x14ac:dyDescent="0.2">
      <c r="A835" s="205">
        <v>0.89127314814814806</v>
      </c>
      <c r="B835" s="1" t="s">
        <v>1031</v>
      </c>
      <c r="C835" s="1" t="s">
        <v>53</v>
      </c>
      <c r="D835" s="1" t="s">
        <v>27</v>
      </c>
      <c r="E835" s="1">
        <v>220</v>
      </c>
    </row>
    <row r="836" spans="1:5" x14ac:dyDescent="0.2">
      <c r="A836" s="205">
        <v>0.89128472222222221</v>
      </c>
      <c r="B836" s="1" t="s">
        <v>1032</v>
      </c>
      <c r="C836" s="1">
        <v>52</v>
      </c>
      <c r="D836" s="1" t="s">
        <v>27</v>
      </c>
      <c r="E836" s="1">
        <v>230</v>
      </c>
    </row>
    <row r="837" spans="1:5" x14ac:dyDescent="0.2">
      <c r="A837" s="205">
        <v>0.89129629629629636</v>
      </c>
      <c r="B837" s="1" t="s">
        <v>1033</v>
      </c>
      <c r="C837" s="1" t="s">
        <v>53</v>
      </c>
      <c r="D837" s="1" t="s">
        <v>27</v>
      </c>
      <c r="E837" s="1">
        <v>240</v>
      </c>
    </row>
    <row r="838" spans="1:5" x14ac:dyDescent="0.2">
      <c r="A838" s="205">
        <v>0.8913078703703704</v>
      </c>
      <c r="B838" s="1" t="s">
        <v>1035</v>
      </c>
      <c r="C838" s="1" t="s">
        <v>53</v>
      </c>
      <c r="D838" s="1" t="s">
        <v>27</v>
      </c>
      <c r="E838" s="1">
        <v>250</v>
      </c>
    </row>
    <row r="839" spans="1:5" x14ac:dyDescent="0.2">
      <c r="A839" s="205">
        <v>0.89131944444444444</v>
      </c>
      <c r="B839" s="1" t="s">
        <v>1036</v>
      </c>
      <c r="C839" s="1" t="s">
        <v>53</v>
      </c>
      <c r="D839" s="1" t="s">
        <v>27</v>
      </c>
      <c r="E839" s="1">
        <v>260</v>
      </c>
    </row>
    <row r="840" spans="1:5" x14ac:dyDescent="0.2">
      <c r="A840" s="205">
        <v>0.89222222222222225</v>
      </c>
      <c r="B840" s="1" t="s">
        <v>1029</v>
      </c>
      <c r="C840" s="1" t="s">
        <v>53</v>
      </c>
      <c r="D840" s="1" t="s">
        <v>29</v>
      </c>
      <c r="E840" s="1">
        <v>210</v>
      </c>
    </row>
    <row r="841" spans="1:5" x14ac:dyDescent="0.2">
      <c r="A841" s="205">
        <v>0.8922337962962964</v>
      </c>
      <c r="B841" s="1" t="s">
        <v>1031</v>
      </c>
      <c r="C841" s="1" t="s">
        <v>53</v>
      </c>
      <c r="D841" s="1" t="s">
        <v>29</v>
      </c>
      <c r="E841" s="1">
        <v>220</v>
      </c>
    </row>
    <row r="842" spans="1:5" x14ac:dyDescent="0.2">
      <c r="A842" s="205">
        <v>0.89224537037037033</v>
      </c>
      <c r="B842" s="1" t="s">
        <v>1032</v>
      </c>
      <c r="C842" s="1">
        <v>52</v>
      </c>
      <c r="D842" s="1" t="s">
        <v>29</v>
      </c>
      <c r="E842" s="1">
        <v>230</v>
      </c>
    </row>
    <row r="843" spans="1:5" x14ac:dyDescent="0.2">
      <c r="A843" s="205">
        <v>0.89225694444444448</v>
      </c>
      <c r="B843" s="1" t="s">
        <v>1033</v>
      </c>
      <c r="C843" s="1" t="s">
        <v>53</v>
      </c>
      <c r="D843" s="1" t="s">
        <v>29</v>
      </c>
      <c r="E843" s="1">
        <v>240</v>
      </c>
    </row>
    <row r="844" spans="1:5" x14ac:dyDescent="0.2">
      <c r="A844" s="205">
        <v>0.89226851851851852</v>
      </c>
      <c r="B844" s="1" t="s">
        <v>1035</v>
      </c>
      <c r="C844" s="1" t="s">
        <v>53</v>
      </c>
      <c r="D844" s="1" t="s">
        <v>29</v>
      </c>
      <c r="E844" s="1">
        <v>250</v>
      </c>
    </row>
    <row r="845" spans="1:5" x14ac:dyDescent="0.2">
      <c r="A845" s="205">
        <v>0.89228009259259267</v>
      </c>
      <c r="B845" s="1" t="s">
        <v>1036</v>
      </c>
      <c r="C845" s="1" t="s">
        <v>53</v>
      </c>
      <c r="D845" s="1" t="s">
        <v>29</v>
      </c>
      <c r="E845" s="1">
        <v>260</v>
      </c>
    </row>
    <row r="846" spans="1:5" x14ac:dyDescent="0.2">
      <c r="A846" s="205">
        <v>0.89229166666666659</v>
      </c>
      <c r="B846" s="1" t="s">
        <v>1038</v>
      </c>
      <c r="C846" s="1" t="s">
        <v>53</v>
      </c>
      <c r="D846" s="1" t="s">
        <v>29</v>
      </c>
      <c r="E846" s="1">
        <v>270</v>
      </c>
    </row>
    <row r="847" spans="1:5" x14ac:dyDescent="0.2">
      <c r="A847" s="205">
        <v>0.89230324074074074</v>
      </c>
      <c r="B847" s="1" t="s">
        <v>1038</v>
      </c>
      <c r="C847" s="1" t="s">
        <v>53</v>
      </c>
      <c r="D847" s="1" t="s">
        <v>29</v>
      </c>
      <c r="E847" s="1">
        <v>270</v>
      </c>
    </row>
    <row r="848" spans="1:5" x14ac:dyDescent="0.2">
      <c r="A848" s="205">
        <v>0.89230324074074074</v>
      </c>
      <c r="B848" s="1" t="s">
        <v>1038</v>
      </c>
      <c r="C848" s="1" t="s">
        <v>53</v>
      </c>
      <c r="D848" s="1" t="s">
        <v>29</v>
      </c>
      <c r="E848" s="1">
        <v>270</v>
      </c>
    </row>
    <row r="849" spans="1:5" x14ac:dyDescent="0.2">
      <c r="A849" s="205">
        <v>0.89240740740740743</v>
      </c>
      <c r="B849" s="1" t="s">
        <v>1038</v>
      </c>
      <c r="C849" s="1" t="s">
        <v>53</v>
      </c>
      <c r="D849" s="1" t="s">
        <v>29</v>
      </c>
      <c r="E849" s="1">
        <v>270</v>
      </c>
    </row>
    <row r="850" spans="1:5" x14ac:dyDescent="0.2">
      <c r="A850" s="205">
        <v>0.89241898148148147</v>
      </c>
      <c r="B850" s="1" t="s">
        <v>1038</v>
      </c>
      <c r="C850" s="1" t="s">
        <v>53</v>
      </c>
      <c r="D850" s="1" t="s">
        <v>29</v>
      </c>
      <c r="E850" s="1">
        <v>270</v>
      </c>
    </row>
    <row r="851" spans="1:5" x14ac:dyDescent="0.2">
      <c r="A851" s="205">
        <v>0.8924305555555555</v>
      </c>
      <c r="B851" s="1" t="s">
        <v>1038</v>
      </c>
      <c r="C851" s="1" t="s">
        <v>53</v>
      </c>
      <c r="D851" s="1" t="s">
        <v>29</v>
      </c>
      <c r="E851" s="1">
        <v>270</v>
      </c>
    </row>
    <row r="852" spans="1:5" x14ac:dyDescent="0.2">
      <c r="A852" s="205">
        <v>0.89246527777777773</v>
      </c>
      <c r="B852" s="1" t="s">
        <v>1009</v>
      </c>
      <c r="C852" s="1">
        <v>47</v>
      </c>
      <c r="D852" s="1" t="s">
        <v>29</v>
      </c>
      <c r="E852" s="1">
        <v>100</v>
      </c>
    </row>
    <row r="853" spans="1:5" x14ac:dyDescent="0.2">
      <c r="A853" s="205">
        <v>0.89247685185185188</v>
      </c>
      <c r="B853" s="1" t="s">
        <v>1010</v>
      </c>
      <c r="C853" s="1">
        <v>47</v>
      </c>
      <c r="D853" s="1" t="s">
        <v>29</v>
      </c>
      <c r="E853" s="1">
        <v>110</v>
      </c>
    </row>
    <row r="854" spans="1:5" x14ac:dyDescent="0.2">
      <c r="A854" s="205">
        <v>0.89248842592592592</v>
      </c>
      <c r="B854" s="1" t="s">
        <v>1013</v>
      </c>
      <c r="C854" s="1">
        <v>52</v>
      </c>
      <c r="D854" s="1" t="s">
        <v>29</v>
      </c>
      <c r="E854" s="1">
        <v>120</v>
      </c>
    </row>
    <row r="855" spans="1:5" x14ac:dyDescent="0.2">
      <c r="A855" s="205">
        <v>0.89250000000000007</v>
      </c>
      <c r="B855" s="1" t="s">
        <v>1017</v>
      </c>
      <c r="C855" s="1">
        <v>57</v>
      </c>
      <c r="D855" s="1" t="s">
        <v>29</v>
      </c>
      <c r="E855" s="1">
        <v>130</v>
      </c>
    </row>
    <row r="856" spans="1:5" x14ac:dyDescent="0.2">
      <c r="A856" s="205">
        <v>0.892511574074074</v>
      </c>
      <c r="B856" s="1" t="s">
        <v>1018</v>
      </c>
      <c r="C856" s="1">
        <v>72</v>
      </c>
      <c r="D856" s="1" t="s">
        <v>29</v>
      </c>
      <c r="E856" s="1">
        <v>140</v>
      </c>
    </row>
    <row r="857" spans="1:5" x14ac:dyDescent="0.2">
      <c r="A857" s="205">
        <v>0.89252314814814815</v>
      </c>
      <c r="B857" s="1" t="s">
        <v>1021</v>
      </c>
      <c r="C857" s="1">
        <v>63</v>
      </c>
      <c r="D857" s="1" t="s">
        <v>29</v>
      </c>
      <c r="E857" s="1">
        <v>150</v>
      </c>
    </row>
    <row r="858" spans="1:5" x14ac:dyDescent="0.2">
      <c r="A858" s="205">
        <v>0.8925347222222223</v>
      </c>
      <c r="B858" s="1" t="s">
        <v>1023</v>
      </c>
      <c r="C858" s="1">
        <v>57</v>
      </c>
      <c r="D858" s="1" t="s">
        <v>29</v>
      </c>
      <c r="E858" s="1">
        <v>160</v>
      </c>
    </row>
    <row r="859" spans="1:5" x14ac:dyDescent="0.2">
      <c r="A859" s="205">
        <v>0.8925347222222223</v>
      </c>
      <c r="B859" s="1" t="s">
        <v>1024</v>
      </c>
      <c r="C859" s="1">
        <v>72</v>
      </c>
      <c r="D859" s="1" t="s">
        <v>29</v>
      </c>
      <c r="E859" s="1">
        <v>170</v>
      </c>
    </row>
    <row r="860" spans="1:5" x14ac:dyDescent="0.2">
      <c r="A860" s="205">
        <v>0.89254629629629623</v>
      </c>
      <c r="B860" s="1" t="s">
        <v>1026</v>
      </c>
      <c r="C860" s="1">
        <v>84</v>
      </c>
      <c r="D860" s="1" t="s">
        <v>29</v>
      </c>
      <c r="E860" s="1">
        <v>180</v>
      </c>
    </row>
    <row r="861" spans="1:5" x14ac:dyDescent="0.2">
      <c r="A861" s="205">
        <v>0.89255787037037038</v>
      </c>
      <c r="B861" s="1" t="s">
        <v>1027</v>
      </c>
      <c r="C861" s="1">
        <v>84</v>
      </c>
      <c r="D861" s="1" t="s">
        <v>29</v>
      </c>
      <c r="E861" s="1">
        <v>190</v>
      </c>
    </row>
    <row r="862" spans="1:5" x14ac:dyDescent="0.2">
      <c r="A862" s="205">
        <v>0.89256944444444442</v>
      </c>
      <c r="B862" s="1" t="s">
        <v>1028</v>
      </c>
      <c r="C862" s="1">
        <v>84</v>
      </c>
      <c r="D862" s="1" t="s">
        <v>29</v>
      </c>
      <c r="E862" s="1">
        <v>200</v>
      </c>
    </row>
    <row r="863" spans="1:5" x14ac:dyDescent="0.2">
      <c r="A863" s="205">
        <v>0.89258101851851857</v>
      </c>
      <c r="B863" s="1" t="s">
        <v>1028</v>
      </c>
      <c r="C863" s="1">
        <v>84</v>
      </c>
      <c r="D863" s="1" t="s">
        <v>29</v>
      </c>
      <c r="E863" s="1">
        <v>200</v>
      </c>
    </row>
    <row r="864" spans="1:5" x14ac:dyDescent="0.2">
      <c r="A864" s="205">
        <v>0.89258101851851857</v>
      </c>
      <c r="B864" s="1" t="s">
        <v>1028</v>
      </c>
      <c r="C864" s="1">
        <v>84</v>
      </c>
      <c r="D864" s="1" t="s">
        <v>29</v>
      </c>
      <c r="E864" s="1">
        <v>200</v>
      </c>
    </row>
    <row r="865" spans="1:6" x14ac:dyDescent="0.2">
      <c r="A865" s="205">
        <v>0.89259259259259249</v>
      </c>
      <c r="B865" s="1" t="s">
        <v>1028</v>
      </c>
      <c r="C865" s="1">
        <v>84</v>
      </c>
      <c r="D865" s="1" t="s">
        <v>29</v>
      </c>
      <c r="E865" s="1">
        <v>200</v>
      </c>
    </row>
    <row r="866" spans="1:6" x14ac:dyDescent="0.2">
      <c r="A866" s="205">
        <v>0.89259259259259249</v>
      </c>
      <c r="B866" s="1" t="s">
        <v>1028</v>
      </c>
      <c r="C866" s="1">
        <v>84</v>
      </c>
      <c r="D866" s="1" t="s">
        <v>29</v>
      </c>
      <c r="E866" s="1">
        <v>200</v>
      </c>
    </row>
    <row r="867" spans="1:6" x14ac:dyDescent="0.2">
      <c r="A867" s="205">
        <v>0.89260416666666664</v>
      </c>
      <c r="B867" s="1" t="s">
        <v>1028</v>
      </c>
      <c r="C867" s="1">
        <v>84</v>
      </c>
      <c r="D867" s="1" t="s">
        <v>29</v>
      </c>
      <c r="E867" s="1">
        <v>200</v>
      </c>
    </row>
    <row r="868" spans="1:6" x14ac:dyDescent="0.2">
      <c r="A868" s="205">
        <v>0.89260416666666664</v>
      </c>
      <c r="B868" s="1" t="s">
        <v>1028</v>
      </c>
      <c r="C868" s="1">
        <v>84</v>
      </c>
      <c r="D868" s="1" t="s">
        <v>29</v>
      </c>
      <c r="E868" s="1">
        <v>200</v>
      </c>
    </row>
    <row r="869" spans="1:6" x14ac:dyDescent="0.2">
      <c r="A869" s="205">
        <v>0.89266203703703706</v>
      </c>
      <c r="B869" s="1" t="s">
        <v>1009</v>
      </c>
      <c r="C869" s="1">
        <v>47</v>
      </c>
      <c r="D869" s="1" t="s">
        <v>30</v>
      </c>
      <c r="E869" s="1">
        <v>100</v>
      </c>
      <c r="F869" s="1">
        <v>300</v>
      </c>
    </row>
    <row r="870" spans="1:6" x14ac:dyDescent="0.2">
      <c r="A870" s="205">
        <v>0.89267361111111121</v>
      </c>
      <c r="B870" s="1" t="s">
        <v>1010</v>
      </c>
      <c r="C870" s="1">
        <v>47</v>
      </c>
      <c r="D870" s="1" t="s">
        <v>30</v>
      </c>
      <c r="E870" s="1">
        <v>110</v>
      </c>
      <c r="F870" s="1">
        <v>330</v>
      </c>
    </row>
    <row r="871" spans="1:6" x14ac:dyDescent="0.2">
      <c r="A871" s="205">
        <v>0.89268518518518514</v>
      </c>
      <c r="B871" s="1" t="s">
        <v>1013</v>
      </c>
      <c r="C871" s="1">
        <v>52</v>
      </c>
      <c r="D871" s="1" t="s">
        <v>30</v>
      </c>
      <c r="E871" s="1">
        <v>120</v>
      </c>
      <c r="F871" s="1">
        <v>360</v>
      </c>
    </row>
    <row r="872" spans="1:6" x14ac:dyDescent="0.2">
      <c r="A872" s="205">
        <v>0.89269675925925929</v>
      </c>
      <c r="B872" s="1" t="s">
        <v>1017</v>
      </c>
      <c r="C872" s="1">
        <v>57</v>
      </c>
      <c r="D872" s="1" t="s">
        <v>30</v>
      </c>
      <c r="E872" s="1">
        <v>130</v>
      </c>
      <c r="F872" s="1">
        <v>390</v>
      </c>
    </row>
    <row r="873" spans="1:6" x14ac:dyDescent="0.2">
      <c r="A873" s="205">
        <v>0.89270833333333333</v>
      </c>
      <c r="B873" s="1" t="s">
        <v>1018</v>
      </c>
      <c r="C873" s="1">
        <v>72</v>
      </c>
      <c r="D873" s="1" t="s">
        <v>30</v>
      </c>
      <c r="E873" s="1">
        <v>140</v>
      </c>
      <c r="F873" s="1">
        <v>420</v>
      </c>
    </row>
    <row r="874" spans="1:6" x14ac:dyDescent="0.2">
      <c r="A874" s="205">
        <v>0.89271990740740748</v>
      </c>
      <c r="B874" s="1" t="s">
        <v>1021</v>
      </c>
      <c r="C874" s="1">
        <v>63</v>
      </c>
      <c r="D874" s="1" t="s">
        <v>30</v>
      </c>
      <c r="E874" s="1">
        <v>150</v>
      </c>
      <c r="F874" s="1">
        <v>450</v>
      </c>
    </row>
    <row r="875" spans="1:6" x14ac:dyDescent="0.2">
      <c r="A875" s="205">
        <v>0.8927314814814814</v>
      </c>
      <c r="B875" s="1" t="s">
        <v>1023</v>
      </c>
      <c r="C875" s="1">
        <v>57</v>
      </c>
      <c r="D875" s="1" t="s">
        <v>30</v>
      </c>
      <c r="E875" s="1">
        <v>160</v>
      </c>
      <c r="F875" s="1">
        <v>480</v>
      </c>
    </row>
    <row r="876" spans="1:6" x14ac:dyDescent="0.2">
      <c r="A876" s="205">
        <v>0.89274305555555555</v>
      </c>
      <c r="B876" s="1" t="s">
        <v>1024</v>
      </c>
      <c r="C876" s="1">
        <v>72</v>
      </c>
      <c r="D876" s="1" t="s">
        <v>30</v>
      </c>
      <c r="E876" s="1">
        <v>170</v>
      </c>
      <c r="F876" s="1">
        <v>510</v>
      </c>
    </row>
    <row r="877" spans="1:6" x14ac:dyDescent="0.2">
      <c r="A877" s="205">
        <v>0.8927546296296297</v>
      </c>
      <c r="B877" s="1" t="s">
        <v>1026</v>
      </c>
      <c r="C877" s="1">
        <v>84</v>
      </c>
      <c r="D877" s="1" t="s">
        <v>30</v>
      </c>
      <c r="E877" s="1">
        <v>180</v>
      </c>
      <c r="F877" s="1">
        <v>540</v>
      </c>
    </row>
    <row r="878" spans="1:6" x14ac:dyDescent="0.2">
      <c r="A878" s="205">
        <v>0.89276620370370363</v>
      </c>
      <c r="B878" s="1" t="s">
        <v>1027</v>
      </c>
      <c r="C878" s="1">
        <v>84</v>
      </c>
      <c r="D878" s="1" t="s">
        <v>30</v>
      </c>
      <c r="E878" s="1">
        <v>190</v>
      </c>
      <c r="F878" s="1">
        <v>570</v>
      </c>
    </row>
    <row r="879" spans="1:6" x14ac:dyDescent="0.2">
      <c r="A879" s="205">
        <v>0.89277777777777778</v>
      </c>
      <c r="B879" s="1" t="s">
        <v>1028</v>
      </c>
      <c r="C879" s="1">
        <v>84</v>
      </c>
      <c r="D879" s="1" t="s">
        <v>30</v>
      </c>
      <c r="E879" s="1">
        <v>200</v>
      </c>
      <c r="F879" s="1">
        <v>600</v>
      </c>
    </row>
    <row r="880" spans="1:6" x14ac:dyDescent="0.2">
      <c r="A880" s="205">
        <v>0.89278935185185182</v>
      </c>
      <c r="B880" s="1" t="s">
        <v>1028</v>
      </c>
      <c r="C880" s="1">
        <v>84</v>
      </c>
      <c r="D880" s="1" t="s">
        <v>30</v>
      </c>
      <c r="E880" s="1">
        <v>200</v>
      </c>
      <c r="F880" s="1">
        <v>600</v>
      </c>
    </row>
    <row r="881" spans="1:6" x14ac:dyDescent="0.2">
      <c r="A881" s="205">
        <v>0.89278935185185182</v>
      </c>
      <c r="B881" s="1" t="s">
        <v>1028</v>
      </c>
      <c r="C881" s="1">
        <v>84</v>
      </c>
      <c r="D881" s="1" t="s">
        <v>30</v>
      </c>
      <c r="E881" s="1">
        <v>200</v>
      </c>
      <c r="F881" s="1">
        <v>600</v>
      </c>
    </row>
    <row r="882" spans="1:6" x14ac:dyDescent="0.2">
      <c r="A882" s="205">
        <v>0.89288194444444446</v>
      </c>
      <c r="B882" s="1" t="s">
        <v>1028</v>
      </c>
      <c r="C882" s="1">
        <v>84</v>
      </c>
      <c r="D882" s="1" t="s">
        <v>30</v>
      </c>
      <c r="E882" s="1">
        <v>200</v>
      </c>
      <c r="F882" s="1">
        <v>600</v>
      </c>
    </row>
    <row r="883" spans="1:6" x14ac:dyDescent="0.2">
      <c r="A883" s="205">
        <v>0.89298611111111104</v>
      </c>
      <c r="B883" s="1" t="s">
        <v>1029</v>
      </c>
      <c r="C883" s="1" t="s">
        <v>53</v>
      </c>
      <c r="D883" s="1" t="s">
        <v>30</v>
      </c>
      <c r="E883" s="1">
        <v>210</v>
      </c>
      <c r="F883" s="1">
        <v>630</v>
      </c>
    </row>
    <row r="884" spans="1:6" x14ac:dyDescent="0.2">
      <c r="A884" s="205">
        <v>0.89299768518518519</v>
      </c>
      <c r="B884" s="1" t="s">
        <v>1031</v>
      </c>
      <c r="C884" s="1" t="s">
        <v>53</v>
      </c>
      <c r="D884" s="1" t="s">
        <v>30</v>
      </c>
      <c r="E884" s="1">
        <v>220</v>
      </c>
      <c r="F884" s="1">
        <v>660</v>
      </c>
    </row>
    <row r="885" spans="1:6" x14ac:dyDescent="0.2">
      <c r="A885" s="205">
        <v>0.89300925925925922</v>
      </c>
      <c r="B885" s="1" t="s">
        <v>1032</v>
      </c>
      <c r="C885" s="1">
        <v>52</v>
      </c>
      <c r="D885" s="1" t="s">
        <v>30</v>
      </c>
      <c r="E885" s="1">
        <v>230</v>
      </c>
      <c r="F885" s="1">
        <v>690</v>
      </c>
    </row>
    <row r="886" spans="1:6" x14ac:dyDescent="0.2">
      <c r="A886" s="205">
        <v>0.89302083333333337</v>
      </c>
      <c r="B886" s="1" t="s">
        <v>1033</v>
      </c>
      <c r="C886" s="1" t="s">
        <v>53</v>
      </c>
      <c r="D886" s="1" t="s">
        <v>30</v>
      </c>
      <c r="E886" s="1">
        <v>240</v>
      </c>
      <c r="F886" s="1">
        <v>720</v>
      </c>
    </row>
    <row r="887" spans="1:6" x14ac:dyDescent="0.2">
      <c r="A887" s="205">
        <v>0.8930324074074073</v>
      </c>
      <c r="B887" s="1" t="s">
        <v>1035</v>
      </c>
      <c r="C887" s="1" t="s">
        <v>53</v>
      </c>
      <c r="D887" s="1" t="s">
        <v>30</v>
      </c>
      <c r="E887" s="1">
        <v>250</v>
      </c>
      <c r="F887" s="1">
        <v>750</v>
      </c>
    </row>
    <row r="888" spans="1:6" x14ac:dyDescent="0.2">
      <c r="A888" s="205">
        <v>0.89304398148148145</v>
      </c>
      <c r="B888" s="1" t="s">
        <v>1036</v>
      </c>
      <c r="C888" s="1" t="s">
        <v>53</v>
      </c>
      <c r="D888" s="1" t="s">
        <v>30</v>
      </c>
      <c r="E888" s="1">
        <v>260</v>
      </c>
      <c r="F888" s="1">
        <v>780</v>
      </c>
    </row>
    <row r="889" spans="1:6" x14ac:dyDescent="0.2">
      <c r="A889" s="205">
        <v>0.89306712962962964</v>
      </c>
      <c r="B889" s="1" t="s">
        <v>1038</v>
      </c>
      <c r="C889" s="1" t="s">
        <v>53</v>
      </c>
      <c r="D889" s="1" t="s">
        <v>30</v>
      </c>
      <c r="E889" s="1">
        <v>270</v>
      </c>
    </row>
    <row r="890" spans="1:6" x14ac:dyDescent="0.2">
      <c r="A890" s="205">
        <v>0.89307870370370368</v>
      </c>
      <c r="B890" s="1" t="s">
        <v>1038</v>
      </c>
      <c r="C890" s="1" t="s">
        <v>53</v>
      </c>
      <c r="D890" s="1" t="s">
        <v>30</v>
      </c>
      <c r="E890" s="1">
        <v>270</v>
      </c>
    </row>
    <row r="891" spans="1:6" x14ac:dyDescent="0.2">
      <c r="A891" s="205">
        <v>2.2337962962962967E-3</v>
      </c>
      <c r="B891" s="1" t="s">
        <v>1009</v>
      </c>
      <c r="C891" s="1">
        <v>47</v>
      </c>
      <c r="D891" s="1" t="s">
        <v>27</v>
      </c>
      <c r="E891" s="1">
        <v>100</v>
      </c>
    </row>
    <row r="892" spans="1:6" x14ac:dyDescent="0.2">
      <c r="A892" s="205">
        <v>2.2453703703703702E-3</v>
      </c>
      <c r="B892" s="1" t="s">
        <v>1010</v>
      </c>
      <c r="C892" s="1">
        <v>47</v>
      </c>
      <c r="D892" s="1" t="s">
        <v>27</v>
      </c>
      <c r="E892" s="1">
        <v>110</v>
      </c>
    </row>
    <row r="893" spans="1:6" x14ac:dyDescent="0.2">
      <c r="A893" s="205">
        <v>2.2685185185185182E-3</v>
      </c>
      <c r="B893" s="1" t="s">
        <v>1013</v>
      </c>
      <c r="C893" s="1">
        <v>52</v>
      </c>
      <c r="D893" s="1" t="s">
        <v>27</v>
      </c>
      <c r="E893" s="1">
        <v>120</v>
      </c>
    </row>
    <row r="894" spans="1:6" x14ac:dyDescent="0.2">
      <c r="A894" s="205">
        <v>2.2800925925925927E-3</v>
      </c>
      <c r="B894" s="1" t="s">
        <v>1017</v>
      </c>
      <c r="C894" s="1">
        <v>57</v>
      </c>
      <c r="D894" s="1" t="s">
        <v>27</v>
      </c>
      <c r="E894" s="1">
        <v>130</v>
      </c>
    </row>
    <row r="895" spans="1:6" x14ac:dyDescent="0.2">
      <c r="A895" s="205">
        <v>2.2916666666666667E-3</v>
      </c>
      <c r="B895" s="1" t="s">
        <v>1018</v>
      </c>
      <c r="C895" s="1">
        <v>72</v>
      </c>
      <c r="D895" s="1" t="s">
        <v>27</v>
      </c>
      <c r="E895" s="1">
        <v>140</v>
      </c>
    </row>
    <row r="896" spans="1:6" x14ac:dyDescent="0.2">
      <c r="A896" s="205">
        <v>2.3032407407407407E-3</v>
      </c>
      <c r="B896" s="1" t="s">
        <v>1021</v>
      </c>
      <c r="C896" s="1">
        <v>63</v>
      </c>
      <c r="D896" s="1" t="s">
        <v>27</v>
      </c>
      <c r="E896" s="1">
        <v>150</v>
      </c>
    </row>
    <row r="897" spans="1:5" x14ac:dyDescent="0.2">
      <c r="A897" s="205">
        <v>2.3148148148148151E-3</v>
      </c>
      <c r="B897" s="1" t="s">
        <v>1023</v>
      </c>
      <c r="C897" s="1">
        <v>57</v>
      </c>
      <c r="D897" s="1" t="s">
        <v>27</v>
      </c>
      <c r="E897" s="1">
        <v>160</v>
      </c>
    </row>
    <row r="898" spans="1:5" x14ac:dyDescent="0.2">
      <c r="A898" s="205">
        <v>2.3263888888888887E-3</v>
      </c>
      <c r="B898" s="1" t="s">
        <v>1024</v>
      </c>
      <c r="C898" s="1">
        <v>72</v>
      </c>
      <c r="D898" s="1" t="s">
        <v>27</v>
      </c>
      <c r="E898" s="1">
        <v>170</v>
      </c>
    </row>
    <row r="899" spans="1:5" x14ac:dyDescent="0.2">
      <c r="A899" s="205">
        <v>2.3495370370370371E-3</v>
      </c>
      <c r="B899" s="1" t="s">
        <v>1026</v>
      </c>
      <c r="C899" s="1">
        <v>84</v>
      </c>
      <c r="D899" s="1" t="s">
        <v>27</v>
      </c>
      <c r="E899" s="1">
        <v>180</v>
      </c>
    </row>
    <row r="900" spans="1:5" x14ac:dyDescent="0.2">
      <c r="A900" s="205">
        <v>2.3611111111111111E-3</v>
      </c>
      <c r="B900" s="1" t="s">
        <v>1027</v>
      </c>
      <c r="C900" s="1">
        <v>84</v>
      </c>
      <c r="D900" s="1" t="s">
        <v>27</v>
      </c>
      <c r="E900" s="1">
        <v>190</v>
      </c>
    </row>
    <row r="901" spans="1:5" x14ac:dyDescent="0.2">
      <c r="A901" s="205">
        <v>2.3726851851851851E-3</v>
      </c>
      <c r="B901" s="1" t="s">
        <v>1028</v>
      </c>
      <c r="C901" s="1">
        <v>84</v>
      </c>
      <c r="D901" s="1" t="s">
        <v>27</v>
      </c>
      <c r="E901" s="1">
        <v>200</v>
      </c>
    </row>
    <row r="902" spans="1:5" x14ac:dyDescent="0.2">
      <c r="A902" s="205">
        <v>2.3842592592592591E-3</v>
      </c>
      <c r="B902" s="1" t="s">
        <v>1028</v>
      </c>
      <c r="C902" s="1">
        <v>84</v>
      </c>
      <c r="D902" s="1" t="s">
        <v>27</v>
      </c>
      <c r="E902" s="1">
        <v>200</v>
      </c>
    </row>
    <row r="903" spans="1:5" x14ac:dyDescent="0.2">
      <c r="A903" s="205">
        <v>2.3958333333333336E-3</v>
      </c>
      <c r="B903" s="1" t="s">
        <v>1028</v>
      </c>
      <c r="C903" s="1">
        <v>84</v>
      </c>
      <c r="D903" s="1" t="s">
        <v>27</v>
      </c>
      <c r="E903" s="1">
        <v>200</v>
      </c>
    </row>
    <row r="904" spans="1:5" x14ac:dyDescent="0.2">
      <c r="A904" s="205">
        <v>2.5347222222222221E-3</v>
      </c>
      <c r="B904" s="1" t="s">
        <v>1029</v>
      </c>
      <c r="C904" s="1" t="s">
        <v>53</v>
      </c>
      <c r="D904" s="1" t="s">
        <v>27</v>
      </c>
      <c r="E904" s="1">
        <v>210</v>
      </c>
    </row>
    <row r="905" spans="1:5" x14ac:dyDescent="0.2">
      <c r="A905" s="205">
        <v>2.5462962962962961E-3</v>
      </c>
      <c r="B905" s="1" t="s">
        <v>1031</v>
      </c>
      <c r="C905" s="1" t="s">
        <v>53</v>
      </c>
      <c r="D905" s="1" t="s">
        <v>27</v>
      </c>
      <c r="E905" s="1">
        <v>220</v>
      </c>
    </row>
    <row r="906" spans="1:5" x14ac:dyDescent="0.2">
      <c r="A906" s="205">
        <v>2.5578703703703705E-3</v>
      </c>
      <c r="B906" s="1" t="s">
        <v>1032</v>
      </c>
      <c r="C906" s="1">
        <v>52</v>
      </c>
      <c r="D906" s="1" t="s">
        <v>27</v>
      </c>
      <c r="E906" s="1">
        <v>230</v>
      </c>
    </row>
    <row r="907" spans="1:5" x14ac:dyDescent="0.2">
      <c r="A907" s="205">
        <v>2.5694444444444445E-3</v>
      </c>
      <c r="B907" s="1" t="s">
        <v>1033</v>
      </c>
      <c r="C907" s="1" t="s">
        <v>53</v>
      </c>
      <c r="D907" s="1" t="s">
        <v>27</v>
      </c>
      <c r="E907" s="1">
        <v>240</v>
      </c>
    </row>
    <row r="908" spans="1:5" x14ac:dyDescent="0.2">
      <c r="A908" s="205">
        <v>2.5810185185185185E-3</v>
      </c>
      <c r="B908" s="1" t="s">
        <v>1035</v>
      </c>
      <c r="C908" s="1" t="s">
        <v>53</v>
      </c>
      <c r="D908" s="1" t="s">
        <v>27</v>
      </c>
      <c r="E908" s="1">
        <v>250</v>
      </c>
    </row>
    <row r="909" spans="1:5" x14ac:dyDescent="0.2">
      <c r="A909" s="205">
        <v>2.6041666666666665E-3</v>
      </c>
      <c r="B909" s="1" t="s">
        <v>1036</v>
      </c>
      <c r="C909" s="1" t="s">
        <v>53</v>
      </c>
      <c r="D909" s="1" t="s">
        <v>27</v>
      </c>
      <c r="E909" s="1">
        <v>260</v>
      </c>
    </row>
    <row r="910" spans="1:5" x14ac:dyDescent="0.2">
      <c r="A910" s="205">
        <v>2.615740740740741E-3</v>
      </c>
      <c r="B910" s="1" t="s">
        <v>1038</v>
      </c>
      <c r="C910" s="1" t="s">
        <v>53</v>
      </c>
      <c r="D910" s="1" t="s">
        <v>27</v>
      </c>
      <c r="E910" s="1">
        <v>270</v>
      </c>
    </row>
    <row r="911" spans="1:5" x14ac:dyDescent="0.2">
      <c r="A911" s="205">
        <v>2.627314814814815E-3</v>
      </c>
      <c r="B911" s="1" t="s">
        <v>1038</v>
      </c>
      <c r="C911" s="1" t="s">
        <v>53</v>
      </c>
      <c r="D911" s="1" t="s">
        <v>27</v>
      </c>
      <c r="E911" s="1">
        <v>270</v>
      </c>
    </row>
    <row r="912" spans="1:5" x14ac:dyDescent="0.2">
      <c r="A912" s="205">
        <v>2.6388888888888885E-3</v>
      </c>
      <c r="B912" s="1" t="s">
        <v>1038</v>
      </c>
      <c r="C912" s="1" t="s">
        <v>53</v>
      </c>
      <c r="D912" s="1" t="s">
        <v>27</v>
      </c>
      <c r="E912" s="1">
        <v>270</v>
      </c>
    </row>
    <row r="913" spans="1:6" x14ac:dyDescent="0.2">
      <c r="A913" s="205">
        <v>2.6388888888888885E-3</v>
      </c>
      <c r="B913" s="1" t="s">
        <v>1038</v>
      </c>
      <c r="C913" s="1" t="s">
        <v>53</v>
      </c>
      <c r="D913" s="1" t="s">
        <v>27</v>
      </c>
      <c r="E913" s="1">
        <v>270</v>
      </c>
    </row>
    <row r="914" spans="1:6" x14ac:dyDescent="0.2">
      <c r="A914" s="205">
        <v>2.7083333333333334E-3</v>
      </c>
      <c r="B914" s="1" t="s">
        <v>1029</v>
      </c>
      <c r="C914" s="1" t="s">
        <v>53</v>
      </c>
      <c r="D914" s="1" t="s">
        <v>29</v>
      </c>
      <c r="E914" s="1">
        <v>210</v>
      </c>
    </row>
    <row r="915" spans="1:6" x14ac:dyDescent="0.2">
      <c r="A915" s="205">
        <v>2.7314814814814819E-3</v>
      </c>
      <c r="B915" s="1" t="s">
        <v>1031</v>
      </c>
      <c r="C915" s="1" t="s">
        <v>53</v>
      </c>
      <c r="D915" s="1" t="s">
        <v>29</v>
      </c>
      <c r="E915" s="1">
        <v>220</v>
      </c>
    </row>
    <row r="916" spans="1:6" x14ac:dyDescent="0.2">
      <c r="A916" s="205">
        <v>2.7430555555555559E-3</v>
      </c>
      <c r="B916" s="1" t="s">
        <v>1032</v>
      </c>
      <c r="C916" s="1">
        <v>52</v>
      </c>
      <c r="D916" s="1" t="s">
        <v>29</v>
      </c>
      <c r="E916" s="1">
        <v>230</v>
      </c>
    </row>
    <row r="917" spans="1:6" x14ac:dyDescent="0.2">
      <c r="A917" s="205">
        <v>2.7546296296296294E-3</v>
      </c>
      <c r="B917" s="1" t="s">
        <v>1033</v>
      </c>
      <c r="C917" s="1" t="s">
        <v>53</v>
      </c>
      <c r="D917" s="1" t="s">
        <v>29</v>
      </c>
      <c r="E917" s="1">
        <v>240</v>
      </c>
    </row>
    <row r="918" spans="1:6" x14ac:dyDescent="0.2">
      <c r="A918" s="205">
        <v>2.7662037037037034E-3</v>
      </c>
      <c r="B918" s="1" t="s">
        <v>1035</v>
      </c>
      <c r="C918" s="1" t="s">
        <v>53</v>
      </c>
      <c r="D918" s="1" t="s">
        <v>29</v>
      </c>
      <c r="E918" s="1">
        <v>250</v>
      </c>
    </row>
    <row r="919" spans="1:6" x14ac:dyDescent="0.2">
      <c r="A919" s="205">
        <v>2.7777777777777779E-3</v>
      </c>
      <c r="B919" s="1" t="s">
        <v>1036</v>
      </c>
      <c r="C919" s="1" t="s">
        <v>53</v>
      </c>
      <c r="D919" s="1" t="s">
        <v>29</v>
      </c>
      <c r="E919" s="1">
        <v>260</v>
      </c>
    </row>
    <row r="920" spans="1:6" x14ac:dyDescent="0.2">
      <c r="A920" s="205">
        <v>2.7893518518518519E-3</v>
      </c>
      <c r="B920" s="1" t="s">
        <v>1038</v>
      </c>
      <c r="C920" s="1" t="s">
        <v>53</v>
      </c>
      <c r="D920" s="1" t="s">
        <v>29</v>
      </c>
      <c r="E920" s="1">
        <v>270</v>
      </c>
    </row>
    <row r="921" spans="1:6" x14ac:dyDescent="0.2">
      <c r="A921" s="205">
        <v>2.8124999999999995E-3</v>
      </c>
      <c r="B921" s="1" t="s">
        <v>1038</v>
      </c>
      <c r="C921" s="1" t="s">
        <v>53</v>
      </c>
      <c r="D921" s="1" t="s">
        <v>29</v>
      </c>
      <c r="E921" s="1">
        <v>270</v>
      </c>
    </row>
    <row r="922" spans="1:6" x14ac:dyDescent="0.2">
      <c r="A922" s="205">
        <v>2.8124999999999995E-3</v>
      </c>
      <c r="B922" s="1" t="s">
        <v>1038</v>
      </c>
      <c r="C922" s="1" t="s">
        <v>53</v>
      </c>
      <c r="D922" s="1" t="s">
        <v>29</v>
      </c>
      <c r="E922" s="1">
        <v>270</v>
      </c>
    </row>
    <row r="923" spans="1:6" x14ac:dyDescent="0.2">
      <c r="A923" s="205">
        <v>2.8587962962962963E-3</v>
      </c>
      <c r="B923" s="1" t="s">
        <v>1029</v>
      </c>
      <c r="C923" s="1" t="s">
        <v>53</v>
      </c>
      <c r="D923" s="1" t="s">
        <v>30</v>
      </c>
      <c r="E923" s="1">
        <v>210</v>
      </c>
      <c r="F923" s="1">
        <v>630</v>
      </c>
    </row>
    <row r="924" spans="1:6" x14ac:dyDescent="0.2">
      <c r="A924" s="205">
        <v>2.8703703703703708E-3</v>
      </c>
      <c r="B924" s="1" t="s">
        <v>1031</v>
      </c>
      <c r="C924" s="1" t="s">
        <v>53</v>
      </c>
      <c r="D924" s="1" t="s">
        <v>30</v>
      </c>
      <c r="E924" s="1">
        <v>220</v>
      </c>
      <c r="F924" s="1">
        <v>660</v>
      </c>
    </row>
    <row r="925" spans="1:6" x14ac:dyDescent="0.2">
      <c r="A925" s="205">
        <v>2.8819444444444444E-3</v>
      </c>
      <c r="B925" s="1" t="s">
        <v>1032</v>
      </c>
      <c r="C925" s="1">
        <v>52</v>
      </c>
      <c r="D925" s="1" t="s">
        <v>30</v>
      </c>
      <c r="E925" s="1">
        <v>230</v>
      </c>
      <c r="F925" s="1">
        <v>690</v>
      </c>
    </row>
    <row r="926" spans="1:6" x14ac:dyDescent="0.2">
      <c r="A926" s="205">
        <v>2.8935185185185188E-3</v>
      </c>
      <c r="B926" s="1" t="s">
        <v>1033</v>
      </c>
      <c r="C926" s="1" t="s">
        <v>53</v>
      </c>
      <c r="D926" s="1" t="s">
        <v>30</v>
      </c>
      <c r="E926" s="1">
        <v>240</v>
      </c>
      <c r="F926" s="1">
        <v>720</v>
      </c>
    </row>
    <row r="927" spans="1:6" x14ac:dyDescent="0.2">
      <c r="A927" s="205">
        <v>2.9050925925925928E-3</v>
      </c>
      <c r="B927" s="1" t="s">
        <v>1035</v>
      </c>
      <c r="C927" s="1" t="s">
        <v>53</v>
      </c>
      <c r="D927" s="1" t="s">
        <v>30</v>
      </c>
      <c r="E927" s="1">
        <v>250</v>
      </c>
      <c r="F927" s="1">
        <v>750</v>
      </c>
    </row>
    <row r="928" spans="1:6" x14ac:dyDescent="0.2">
      <c r="A928" s="205">
        <v>2.9166666666666668E-3</v>
      </c>
      <c r="B928" s="1" t="s">
        <v>1036</v>
      </c>
      <c r="C928" s="1" t="s">
        <v>53</v>
      </c>
      <c r="D928" s="1" t="s">
        <v>30</v>
      </c>
      <c r="E928" s="1">
        <v>260</v>
      </c>
      <c r="F928" s="1">
        <v>780</v>
      </c>
    </row>
    <row r="929" spans="1:6" x14ac:dyDescent="0.2">
      <c r="A929" s="205">
        <v>2.9282407407407412E-3</v>
      </c>
      <c r="B929" s="1" t="s">
        <v>1038</v>
      </c>
      <c r="C929" s="1" t="s">
        <v>53</v>
      </c>
      <c r="D929" s="1" t="s">
        <v>30</v>
      </c>
      <c r="E929" s="1">
        <v>270</v>
      </c>
      <c r="F929" s="1">
        <v>810</v>
      </c>
    </row>
    <row r="930" spans="1:6" x14ac:dyDescent="0.2">
      <c r="A930" s="205">
        <v>3.1018518518518522E-3</v>
      </c>
      <c r="B930" s="1" t="s">
        <v>1009</v>
      </c>
      <c r="C930" s="1">
        <v>47</v>
      </c>
      <c r="D930" s="1" t="s">
        <v>30</v>
      </c>
      <c r="E930" s="1">
        <v>100</v>
      </c>
    </row>
    <row r="931" spans="1:6" x14ac:dyDescent="0.2">
      <c r="A931" s="205">
        <v>3.1134259259259257E-3</v>
      </c>
      <c r="B931" s="1" t="s">
        <v>1010</v>
      </c>
      <c r="C931" s="1">
        <v>47</v>
      </c>
      <c r="D931" s="1" t="s">
        <v>30</v>
      </c>
      <c r="E931" s="1">
        <v>110</v>
      </c>
    </row>
    <row r="932" spans="1:6" x14ac:dyDescent="0.2">
      <c r="A932" s="205">
        <v>3.1249999999999997E-3</v>
      </c>
      <c r="B932" s="1" t="s">
        <v>1013</v>
      </c>
      <c r="C932" s="1">
        <v>52</v>
      </c>
      <c r="D932" s="1" t="s">
        <v>30</v>
      </c>
      <c r="E932" s="1">
        <v>120</v>
      </c>
    </row>
    <row r="933" spans="1:6" x14ac:dyDescent="0.2">
      <c r="A933" s="205">
        <v>3.1365740740740742E-3</v>
      </c>
      <c r="B933" s="1" t="s">
        <v>1017</v>
      </c>
      <c r="C933" s="1">
        <v>57</v>
      </c>
      <c r="D933" s="1" t="s">
        <v>30</v>
      </c>
      <c r="E933" s="1">
        <v>130</v>
      </c>
    </row>
    <row r="934" spans="1:6" x14ac:dyDescent="0.2">
      <c r="A934" s="205">
        <v>3.1481481481481482E-3</v>
      </c>
      <c r="B934" s="1" t="s">
        <v>1018</v>
      </c>
      <c r="C934" s="1">
        <v>72</v>
      </c>
      <c r="D934" s="1" t="s">
        <v>30</v>
      </c>
      <c r="E934" s="1">
        <v>140</v>
      </c>
    </row>
    <row r="935" spans="1:6" x14ac:dyDescent="0.2">
      <c r="A935" s="205">
        <v>3.1597222222222222E-3</v>
      </c>
      <c r="B935" s="1" t="s">
        <v>1021</v>
      </c>
      <c r="C935" s="1">
        <v>63</v>
      </c>
      <c r="D935" s="1" t="s">
        <v>30</v>
      </c>
      <c r="E935" s="1">
        <v>150</v>
      </c>
    </row>
    <row r="936" spans="1:6" x14ac:dyDescent="0.2">
      <c r="A936" s="205">
        <v>3.1712962962962958E-3</v>
      </c>
      <c r="B936" s="1" t="s">
        <v>1023</v>
      </c>
      <c r="C936" s="1">
        <v>57</v>
      </c>
      <c r="D936" s="1" t="s">
        <v>30</v>
      </c>
      <c r="E936" s="1">
        <v>160</v>
      </c>
    </row>
    <row r="937" spans="1:6" x14ac:dyDescent="0.2">
      <c r="A937" s="205">
        <v>3.1944444444444442E-3</v>
      </c>
      <c r="B937" s="1" t="s">
        <v>1024</v>
      </c>
      <c r="C937" s="1">
        <v>72</v>
      </c>
      <c r="D937" s="1" t="s">
        <v>30</v>
      </c>
      <c r="E937" s="1">
        <v>170</v>
      </c>
    </row>
    <row r="938" spans="1:6" x14ac:dyDescent="0.2">
      <c r="A938" s="205">
        <v>3.2060185185185191E-3</v>
      </c>
      <c r="B938" s="1" t="s">
        <v>1026</v>
      </c>
      <c r="C938" s="1">
        <v>84</v>
      </c>
      <c r="D938" s="1" t="s">
        <v>30</v>
      </c>
      <c r="E938" s="1">
        <v>180</v>
      </c>
    </row>
    <row r="939" spans="1:6" x14ac:dyDescent="0.2">
      <c r="A939" s="205">
        <v>3.2175925925925926E-3</v>
      </c>
      <c r="B939" s="1" t="s">
        <v>1027</v>
      </c>
      <c r="C939" s="1">
        <v>84</v>
      </c>
      <c r="D939" s="1" t="s">
        <v>30</v>
      </c>
      <c r="E939" s="1">
        <v>190</v>
      </c>
    </row>
    <row r="940" spans="1:6" x14ac:dyDescent="0.2">
      <c r="A940" s="205">
        <v>3.2291666666666666E-3</v>
      </c>
      <c r="B940" s="1" t="s">
        <v>1028</v>
      </c>
      <c r="C940" s="1">
        <v>84</v>
      </c>
      <c r="D940" s="1" t="s">
        <v>30</v>
      </c>
      <c r="E940" s="1">
        <v>200</v>
      </c>
    </row>
    <row r="941" spans="1:6" x14ac:dyDescent="0.2">
      <c r="A941" s="205">
        <v>3.2407407407407406E-3</v>
      </c>
      <c r="B941" s="1" t="s">
        <v>1028</v>
      </c>
      <c r="C941" s="1">
        <v>84</v>
      </c>
      <c r="D941" s="1" t="s">
        <v>30</v>
      </c>
      <c r="E941" s="1">
        <v>200</v>
      </c>
    </row>
    <row r="942" spans="1:6" x14ac:dyDescent="0.2">
      <c r="A942" s="205">
        <v>3.2523148148148151E-3</v>
      </c>
      <c r="B942" s="1" t="s">
        <v>1028</v>
      </c>
      <c r="C942" s="1">
        <v>84</v>
      </c>
      <c r="D942" s="1" t="s">
        <v>30</v>
      </c>
      <c r="E942" s="1">
        <v>200</v>
      </c>
    </row>
    <row r="943" spans="1:6" x14ac:dyDescent="0.2">
      <c r="A943" s="205">
        <v>3.2523148148148151E-3</v>
      </c>
      <c r="B943" s="1" t="s">
        <v>1028</v>
      </c>
      <c r="C943" s="1">
        <v>84</v>
      </c>
      <c r="D943" s="1" t="s">
        <v>30</v>
      </c>
      <c r="E943" s="1">
        <v>200</v>
      </c>
    </row>
    <row r="944" spans="1:6" x14ac:dyDescent="0.2">
      <c r="A944" s="205">
        <v>3.2638888888888891E-3</v>
      </c>
      <c r="B944" s="1" t="s">
        <v>1028</v>
      </c>
      <c r="C944" s="1">
        <v>84</v>
      </c>
      <c r="D944" s="1" t="s">
        <v>30</v>
      </c>
      <c r="E944" s="1">
        <v>200</v>
      </c>
    </row>
    <row r="945" spans="1:6" x14ac:dyDescent="0.2">
      <c r="A945" s="205">
        <v>3.2986111111111111E-3</v>
      </c>
      <c r="B945" s="1" t="s">
        <v>1009</v>
      </c>
      <c r="C945" s="1">
        <v>47</v>
      </c>
      <c r="D945" s="1" t="s">
        <v>29</v>
      </c>
      <c r="E945" s="1">
        <v>100</v>
      </c>
      <c r="F945" s="1">
        <v>300</v>
      </c>
    </row>
    <row r="946" spans="1:6" x14ac:dyDescent="0.2">
      <c r="A946" s="205">
        <v>3.3101851851851851E-3</v>
      </c>
      <c r="B946" s="1" t="s">
        <v>1010</v>
      </c>
      <c r="C946" s="1">
        <v>47</v>
      </c>
      <c r="D946" s="1" t="s">
        <v>29</v>
      </c>
      <c r="E946" s="1">
        <v>110</v>
      </c>
      <c r="F946" s="1">
        <v>330</v>
      </c>
    </row>
    <row r="947" spans="1:6" x14ac:dyDescent="0.2">
      <c r="A947" s="205">
        <v>3.3333333333333335E-3</v>
      </c>
      <c r="B947" s="1" t="s">
        <v>1013</v>
      </c>
      <c r="C947" s="1">
        <v>52</v>
      </c>
      <c r="D947" s="1" t="s">
        <v>29</v>
      </c>
      <c r="E947" s="1">
        <v>120</v>
      </c>
      <c r="F947" s="1">
        <v>360</v>
      </c>
    </row>
    <row r="948" spans="1:6" x14ac:dyDescent="0.2">
      <c r="A948" s="205">
        <v>3.3449074074074071E-3</v>
      </c>
      <c r="B948" s="1" t="s">
        <v>1017</v>
      </c>
      <c r="C948" s="1">
        <v>57</v>
      </c>
      <c r="D948" s="1" t="s">
        <v>29</v>
      </c>
      <c r="E948" s="1">
        <v>130</v>
      </c>
      <c r="F948" s="1">
        <v>390</v>
      </c>
    </row>
    <row r="949" spans="1:6" x14ac:dyDescent="0.2">
      <c r="A949" s="205">
        <v>3.3564814814814811E-3</v>
      </c>
      <c r="B949" s="1" t="s">
        <v>1018</v>
      </c>
      <c r="C949" s="1">
        <v>72</v>
      </c>
      <c r="D949" s="1" t="s">
        <v>29</v>
      </c>
      <c r="E949" s="1">
        <v>140</v>
      </c>
      <c r="F949" s="1">
        <v>420</v>
      </c>
    </row>
    <row r="950" spans="1:6" x14ac:dyDescent="0.2">
      <c r="A950" s="205">
        <v>3.3680555555555551E-3</v>
      </c>
      <c r="B950" s="1" t="s">
        <v>1021</v>
      </c>
      <c r="C950" s="1">
        <v>63</v>
      </c>
      <c r="D950" s="1" t="s">
        <v>29</v>
      </c>
      <c r="E950" s="1">
        <v>150</v>
      </c>
      <c r="F950" s="1">
        <v>450</v>
      </c>
    </row>
    <row r="951" spans="1:6" x14ac:dyDescent="0.2">
      <c r="A951" s="205">
        <v>3.37962962962963E-3</v>
      </c>
      <c r="B951" s="1" t="s">
        <v>1023</v>
      </c>
      <c r="C951" s="1">
        <v>57</v>
      </c>
      <c r="D951" s="1" t="s">
        <v>29</v>
      </c>
      <c r="E951" s="1">
        <v>160</v>
      </c>
      <c r="F951" s="1">
        <v>480</v>
      </c>
    </row>
    <row r="952" spans="1:6" x14ac:dyDescent="0.2">
      <c r="A952" s="205">
        <v>3.4027777777777784E-3</v>
      </c>
      <c r="B952" s="1" t="s">
        <v>1024</v>
      </c>
      <c r="C952" s="1">
        <v>72</v>
      </c>
      <c r="D952" s="1" t="s">
        <v>29</v>
      </c>
      <c r="E952" s="1">
        <v>170</v>
      </c>
      <c r="F952" s="1">
        <v>510</v>
      </c>
    </row>
    <row r="953" spans="1:6" x14ac:dyDescent="0.2">
      <c r="A953" s="205">
        <v>3.414351851851852E-3</v>
      </c>
      <c r="B953" s="1" t="s">
        <v>1026</v>
      </c>
      <c r="C953" s="1">
        <v>84</v>
      </c>
      <c r="D953" s="1" t="s">
        <v>29</v>
      </c>
      <c r="E953" s="1">
        <v>180</v>
      </c>
      <c r="F953" s="1">
        <v>540</v>
      </c>
    </row>
    <row r="954" spans="1:6" x14ac:dyDescent="0.2">
      <c r="A954" s="205">
        <v>3.425925925925926E-3</v>
      </c>
      <c r="B954" s="1" t="s">
        <v>1027</v>
      </c>
      <c r="C954" s="1">
        <v>84</v>
      </c>
      <c r="D954" s="1" t="s">
        <v>29</v>
      </c>
      <c r="E954" s="1">
        <v>190</v>
      </c>
      <c r="F954" s="1">
        <v>570</v>
      </c>
    </row>
    <row r="955" spans="1:6" x14ac:dyDescent="0.2">
      <c r="A955" s="205">
        <v>3.4375E-3</v>
      </c>
      <c r="B955" s="1" t="s">
        <v>1028</v>
      </c>
      <c r="C955" s="1">
        <v>84</v>
      </c>
      <c r="D955" s="1" t="s">
        <v>29</v>
      </c>
      <c r="E955" s="1">
        <v>200</v>
      </c>
      <c r="F955" s="1">
        <v>600</v>
      </c>
    </row>
    <row r="956" spans="1:6" x14ac:dyDescent="0.2">
      <c r="A956" s="205">
        <v>3.4490740740740745E-3</v>
      </c>
      <c r="B956" s="1" t="s">
        <v>1028</v>
      </c>
      <c r="C956" s="1">
        <v>84</v>
      </c>
      <c r="D956" s="1" t="s">
        <v>29</v>
      </c>
      <c r="E956" s="1">
        <v>200</v>
      </c>
      <c r="F956" s="1">
        <v>600</v>
      </c>
    </row>
    <row r="957" spans="1:6" x14ac:dyDescent="0.2">
      <c r="A957" s="205">
        <v>3.4606481481481485E-3</v>
      </c>
      <c r="B957" s="1" t="s">
        <v>1028</v>
      </c>
      <c r="C957" s="1">
        <v>84</v>
      </c>
      <c r="D957" s="1" t="s">
        <v>29</v>
      </c>
      <c r="E957" s="1">
        <v>200</v>
      </c>
      <c r="F957" s="1">
        <v>600</v>
      </c>
    </row>
    <row r="958" spans="1:6" x14ac:dyDescent="0.2">
      <c r="A958" s="205">
        <v>1.0358796296296295E-2</v>
      </c>
      <c r="B958" s="1" t="s">
        <v>1013</v>
      </c>
      <c r="C958" s="1">
        <v>59</v>
      </c>
      <c r="D958" s="1" t="s">
        <v>34</v>
      </c>
      <c r="E958" s="1">
        <v>130</v>
      </c>
      <c r="F958" s="1">
        <v>370</v>
      </c>
    </row>
    <row r="959" spans="1:6" x14ac:dyDescent="0.2">
      <c r="A959" s="205">
        <v>1.0381944444444444E-2</v>
      </c>
      <c r="B959" s="1" t="s">
        <v>1017</v>
      </c>
      <c r="C959" s="1">
        <v>59</v>
      </c>
      <c r="D959" s="1" t="s">
        <v>34</v>
      </c>
      <c r="E959" s="1">
        <v>140</v>
      </c>
      <c r="F959" s="1">
        <v>400</v>
      </c>
    </row>
    <row r="960" spans="1:6" x14ac:dyDescent="0.2">
      <c r="A960" s="205">
        <v>1.0393518518518519E-2</v>
      </c>
      <c r="B960" s="1" t="s">
        <v>1018</v>
      </c>
      <c r="C960" s="1">
        <v>66</v>
      </c>
      <c r="D960" s="1" t="s">
        <v>34</v>
      </c>
      <c r="E960" s="1">
        <v>150</v>
      </c>
      <c r="F960" s="1">
        <v>430</v>
      </c>
    </row>
    <row r="961" spans="1:6" x14ac:dyDescent="0.2">
      <c r="A961" s="205">
        <v>1.0405092592592593E-2</v>
      </c>
      <c r="B961" s="1" t="s">
        <v>1021</v>
      </c>
      <c r="C961" s="1">
        <v>66</v>
      </c>
      <c r="D961" s="1" t="s">
        <v>34</v>
      </c>
      <c r="E961" s="1">
        <v>160</v>
      </c>
      <c r="F961" s="1">
        <v>460</v>
      </c>
    </row>
    <row r="962" spans="1:6" x14ac:dyDescent="0.2">
      <c r="A962" s="205">
        <v>1.0416666666666666E-2</v>
      </c>
      <c r="B962" s="1" t="s">
        <v>1024</v>
      </c>
      <c r="C962" s="1">
        <v>74</v>
      </c>
      <c r="D962" s="1" t="s">
        <v>34</v>
      </c>
      <c r="E962" s="1">
        <v>180</v>
      </c>
      <c r="F962" s="1">
        <v>520</v>
      </c>
    </row>
    <row r="963" spans="1:6" x14ac:dyDescent="0.2">
      <c r="A963" s="205">
        <v>1.042824074074074E-2</v>
      </c>
      <c r="B963" s="1" t="s">
        <v>1027</v>
      </c>
      <c r="C963" s="1">
        <v>83</v>
      </c>
      <c r="D963" s="1" t="s">
        <v>34</v>
      </c>
      <c r="E963" s="1">
        <v>195</v>
      </c>
      <c r="F963" s="1">
        <v>575</v>
      </c>
    </row>
    <row r="964" spans="1:6" x14ac:dyDescent="0.2">
      <c r="A964" s="205">
        <v>1.045138888888889E-2</v>
      </c>
      <c r="B964" s="1" t="s">
        <v>1009</v>
      </c>
      <c r="C964" s="1">
        <v>59</v>
      </c>
      <c r="D964" s="1" t="s">
        <v>34</v>
      </c>
      <c r="E964" s="1">
        <v>200</v>
      </c>
      <c r="F964" s="1">
        <v>400</v>
      </c>
    </row>
    <row r="965" spans="1:6" x14ac:dyDescent="0.2">
      <c r="A965" s="205">
        <v>1.0462962962962964E-2</v>
      </c>
      <c r="B965" s="1" t="s">
        <v>1010</v>
      </c>
      <c r="C965" s="1">
        <v>59</v>
      </c>
      <c r="D965" s="1" t="s">
        <v>34</v>
      </c>
      <c r="E965" s="1">
        <v>200</v>
      </c>
      <c r="F965" s="1">
        <v>420</v>
      </c>
    </row>
    <row r="966" spans="1:6" x14ac:dyDescent="0.2">
      <c r="A966" s="205">
        <v>1.0474537037037037E-2</v>
      </c>
      <c r="B966" s="1" t="s">
        <v>1026</v>
      </c>
      <c r="C966" s="1">
        <v>83</v>
      </c>
      <c r="D966" s="1" t="s">
        <v>34</v>
      </c>
      <c r="E966" s="1">
        <v>200</v>
      </c>
      <c r="F966" s="1">
        <v>560</v>
      </c>
    </row>
    <row r="967" spans="1:6" x14ac:dyDescent="0.2">
      <c r="A967" s="205">
        <v>1.0486111111111111E-2</v>
      </c>
      <c r="B967" s="1" t="s">
        <v>1028</v>
      </c>
      <c r="C967" s="1">
        <v>83</v>
      </c>
      <c r="D967" s="1" t="s">
        <v>34</v>
      </c>
      <c r="E967" s="1">
        <v>220</v>
      </c>
      <c r="F967" s="1">
        <v>620</v>
      </c>
    </row>
    <row r="968" spans="1:6" x14ac:dyDescent="0.2">
      <c r="A968" s="205">
        <v>1.0497685185185186E-2</v>
      </c>
      <c r="B968" s="1" t="s">
        <v>1023</v>
      </c>
      <c r="C968" s="1">
        <v>59</v>
      </c>
      <c r="D968" s="1" t="s">
        <v>34</v>
      </c>
      <c r="E968" s="1">
        <v>260</v>
      </c>
      <c r="F968" s="1">
        <v>580</v>
      </c>
    </row>
    <row r="969" spans="1:6" x14ac:dyDescent="0.2">
      <c r="A969" s="205">
        <v>1.0520833333333333E-2</v>
      </c>
      <c r="B969" s="1" t="s">
        <v>1023</v>
      </c>
      <c r="C969" s="1">
        <v>59</v>
      </c>
      <c r="D969" s="1" t="s">
        <v>34</v>
      </c>
      <c r="E969" s="1">
        <v>260</v>
      </c>
      <c r="F969" s="1">
        <v>580</v>
      </c>
    </row>
    <row r="970" spans="1:6" x14ac:dyDescent="0.2">
      <c r="A970" s="205">
        <v>1.0520833333333333E-2</v>
      </c>
      <c r="B970" s="1" t="s">
        <v>1023</v>
      </c>
      <c r="C970" s="1">
        <v>59</v>
      </c>
      <c r="D970" s="1" t="s">
        <v>34</v>
      </c>
      <c r="E970" s="1">
        <v>260</v>
      </c>
      <c r="F970" s="1">
        <v>580</v>
      </c>
    </row>
    <row r="971" spans="1:6" x14ac:dyDescent="0.2">
      <c r="A971" s="205">
        <v>1.0625000000000001E-2</v>
      </c>
      <c r="B971" s="1" t="s">
        <v>1029</v>
      </c>
      <c r="C971" s="1" t="s">
        <v>53</v>
      </c>
      <c r="D971" s="1" t="s">
        <v>34</v>
      </c>
      <c r="E971" s="1">
        <v>-230</v>
      </c>
      <c r="F971" s="1">
        <v>630</v>
      </c>
    </row>
    <row r="972" spans="1:6" x14ac:dyDescent="0.2">
      <c r="A972" s="205">
        <v>1.064814814814815E-2</v>
      </c>
      <c r="B972" s="1" t="s">
        <v>1032</v>
      </c>
      <c r="C972" s="1">
        <v>59</v>
      </c>
      <c r="D972" s="1" t="s">
        <v>34</v>
      </c>
      <c r="E972" s="1">
        <v>-240</v>
      </c>
      <c r="F972" s="1">
        <v>690</v>
      </c>
    </row>
    <row r="973" spans="1:6" x14ac:dyDescent="0.2">
      <c r="A973" s="205">
        <v>1.0659722222222221E-2</v>
      </c>
      <c r="B973" s="1" t="s">
        <v>1031</v>
      </c>
      <c r="C973" s="1" t="s">
        <v>53</v>
      </c>
      <c r="D973" s="1" t="s">
        <v>34</v>
      </c>
      <c r="E973" s="1">
        <v>-260</v>
      </c>
      <c r="F973" s="1">
        <v>660</v>
      </c>
    </row>
    <row r="974" spans="1:6" x14ac:dyDescent="0.2">
      <c r="A974" s="205">
        <v>1.0671296296296297E-2</v>
      </c>
      <c r="B974" s="1" t="s">
        <v>1033</v>
      </c>
      <c r="C974" s="1" t="s">
        <v>53</v>
      </c>
      <c r="D974" s="1" t="s">
        <v>34</v>
      </c>
      <c r="E974" s="1">
        <v>-260</v>
      </c>
      <c r="F974" s="1">
        <v>720</v>
      </c>
    </row>
    <row r="975" spans="1:6" x14ac:dyDescent="0.2">
      <c r="A975" s="205">
        <v>1.068287037037037E-2</v>
      </c>
      <c r="B975" s="1" t="s">
        <v>1035</v>
      </c>
      <c r="C975" s="1" t="s">
        <v>53</v>
      </c>
      <c r="D975" s="1" t="s">
        <v>34</v>
      </c>
      <c r="E975" s="1">
        <v>-260</v>
      </c>
      <c r="F975" s="1">
        <v>750</v>
      </c>
    </row>
    <row r="976" spans="1:6" x14ac:dyDescent="0.2">
      <c r="A976" s="205">
        <v>1.0694444444444444E-2</v>
      </c>
      <c r="B976" s="1" t="s">
        <v>1036</v>
      </c>
      <c r="C976" s="1" t="s">
        <v>53</v>
      </c>
      <c r="D976" s="1" t="s">
        <v>34</v>
      </c>
      <c r="E976" s="1">
        <v>-270</v>
      </c>
      <c r="F976" s="1">
        <v>780</v>
      </c>
    </row>
    <row r="977" spans="1:6" x14ac:dyDescent="0.2">
      <c r="A977" s="205">
        <v>1.0706018518518517E-2</v>
      </c>
      <c r="B977" s="1" t="s">
        <v>1038</v>
      </c>
      <c r="C977" s="1" t="s">
        <v>53</v>
      </c>
      <c r="D977" s="1" t="s">
        <v>34</v>
      </c>
      <c r="E977" s="1">
        <v>-280</v>
      </c>
      <c r="F977" s="1">
        <v>810</v>
      </c>
    </row>
    <row r="978" spans="1:6" x14ac:dyDescent="0.2">
      <c r="A978" s="205">
        <v>0.59321759259259255</v>
      </c>
      <c r="B978" s="1" t="s">
        <v>1009</v>
      </c>
      <c r="C978" s="1">
        <v>59</v>
      </c>
      <c r="D978" s="1" t="s">
        <v>27</v>
      </c>
      <c r="E978" s="1">
        <v>100</v>
      </c>
    </row>
    <row r="979" spans="1:6" x14ac:dyDescent="0.2">
      <c r="A979" s="205">
        <v>0.59326388888888892</v>
      </c>
      <c r="B979" s="1" t="s">
        <v>1010</v>
      </c>
      <c r="C979" s="1">
        <v>59</v>
      </c>
      <c r="D979" s="1" t="s">
        <v>27</v>
      </c>
      <c r="E979" s="1">
        <v>-110</v>
      </c>
    </row>
    <row r="980" spans="1:6" x14ac:dyDescent="0.2">
      <c r="A980" s="205">
        <v>0.59333333333333338</v>
      </c>
      <c r="B980" s="1" t="s">
        <v>1013</v>
      </c>
      <c r="C980" s="1">
        <v>59</v>
      </c>
      <c r="D980" s="1" t="s">
        <v>27</v>
      </c>
      <c r="E980" s="1">
        <v>120</v>
      </c>
    </row>
    <row r="981" spans="1:6" x14ac:dyDescent="0.2">
      <c r="A981" s="205">
        <v>0.59337962962962965</v>
      </c>
      <c r="B981" s="1" t="s">
        <v>1017</v>
      </c>
      <c r="C981" s="1">
        <v>59</v>
      </c>
      <c r="D981" s="1" t="s">
        <v>27</v>
      </c>
      <c r="E981" s="1">
        <v>130</v>
      </c>
    </row>
    <row r="982" spans="1:6" x14ac:dyDescent="0.2">
      <c r="A982" s="205">
        <v>0.59343749999999995</v>
      </c>
      <c r="B982" s="1" t="s">
        <v>1018</v>
      </c>
      <c r="C982" s="1">
        <v>66</v>
      </c>
      <c r="D982" s="1" t="s">
        <v>27</v>
      </c>
      <c r="E982" s="1">
        <v>140</v>
      </c>
    </row>
    <row r="983" spans="1:6" x14ac:dyDescent="0.2">
      <c r="A983" s="205">
        <v>0.59347222222222229</v>
      </c>
      <c r="B983" s="1" t="s">
        <v>1021</v>
      </c>
      <c r="C983" s="1">
        <v>66</v>
      </c>
      <c r="D983" s="1" t="s">
        <v>27</v>
      </c>
      <c r="E983" s="1">
        <v>150</v>
      </c>
    </row>
    <row r="984" spans="1:6" x14ac:dyDescent="0.2">
      <c r="A984" s="205">
        <v>0.59351851851851845</v>
      </c>
      <c r="B984" s="1" t="s">
        <v>1023</v>
      </c>
      <c r="C984" s="1">
        <v>59</v>
      </c>
      <c r="D984" s="1" t="s">
        <v>27</v>
      </c>
      <c r="E984" s="1">
        <v>-160</v>
      </c>
    </row>
    <row r="985" spans="1:6" x14ac:dyDescent="0.2">
      <c r="A985" s="205">
        <v>0.59357638888888886</v>
      </c>
      <c r="B985" s="1" t="s">
        <v>1024</v>
      </c>
      <c r="C985" s="1">
        <v>74</v>
      </c>
      <c r="D985" s="1" t="s">
        <v>27</v>
      </c>
      <c r="E985" s="1">
        <v>170</v>
      </c>
    </row>
    <row r="986" spans="1:6" x14ac:dyDescent="0.2">
      <c r="A986" s="205">
        <v>0.59361111111111109</v>
      </c>
      <c r="B986" s="1" t="s">
        <v>1026</v>
      </c>
      <c r="C986" s="1">
        <v>83</v>
      </c>
      <c r="D986" s="1" t="s">
        <v>27</v>
      </c>
      <c r="E986" s="1">
        <v>-180</v>
      </c>
    </row>
    <row r="987" spans="1:6" x14ac:dyDescent="0.2">
      <c r="A987" s="205">
        <v>0.59368055555555554</v>
      </c>
      <c r="B987" s="1" t="s">
        <v>1027</v>
      </c>
      <c r="C987" s="1">
        <v>83</v>
      </c>
      <c r="D987" s="1" t="s">
        <v>27</v>
      </c>
      <c r="E987" s="1">
        <v>190</v>
      </c>
    </row>
    <row r="988" spans="1:6" x14ac:dyDescent="0.2">
      <c r="A988" s="205">
        <v>0.59371527777777777</v>
      </c>
      <c r="B988" s="1" t="s">
        <v>1028</v>
      </c>
      <c r="C988" s="1">
        <v>83</v>
      </c>
      <c r="D988" s="1" t="s">
        <v>27</v>
      </c>
      <c r="E988" s="1">
        <v>200</v>
      </c>
    </row>
    <row r="989" spans="1:6" x14ac:dyDescent="0.2">
      <c r="A989" s="205">
        <v>0.59383101851851849</v>
      </c>
      <c r="B989" s="1" t="s">
        <v>1010</v>
      </c>
      <c r="C989" s="1">
        <v>59</v>
      </c>
      <c r="D989" s="1" t="s">
        <v>31</v>
      </c>
      <c r="E989" s="1">
        <v>110</v>
      </c>
    </row>
    <row r="990" spans="1:6" x14ac:dyDescent="0.2">
      <c r="A990" s="205">
        <v>0.59387731481481476</v>
      </c>
      <c r="B990" s="1" t="s">
        <v>1009</v>
      </c>
      <c r="C990" s="1">
        <v>59</v>
      </c>
      <c r="D990" s="1" t="s">
        <v>31</v>
      </c>
      <c r="E990" s="1">
        <v>-120</v>
      </c>
      <c r="F990" s="1">
        <v>300</v>
      </c>
    </row>
    <row r="991" spans="1:6" x14ac:dyDescent="0.2">
      <c r="A991" s="205">
        <v>0.59392361111111114</v>
      </c>
      <c r="B991" s="1" t="s">
        <v>1013</v>
      </c>
      <c r="C991" s="1">
        <v>59</v>
      </c>
      <c r="D991" s="1" t="s">
        <v>31</v>
      </c>
      <c r="E991" s="1">
        <v>-125</v>
      </c>
      <c r="F991" s="1">
        <v>360</v>
      </c>
    </row>
    <row r="992" spans="1:6" x14ac:dyDescent="0.2">
      <c r="A992" s="205">
        <v>0.59395833333333337</v>
      </c>
      <c r="B992" s="1" t="s">
        <v>1017</v>
      </c>
      <c r="C992" s="1">
        <v>59</v>
      </c>
      <c r="D992" s="1" t="s">
        <v>31</v>
      </c>
      <c r="E992" s="1">
        <v>135</v>
      </c>
    </row>
    <row r="993" spans="1:6" x14ac:dyDescent="0.2">
      <c r="A993" s="205">
        <v>0.59400462962962963</v>
      </c>
      <c r="B993" s="1" t="s">
        <v>1018</v>
      </c>
      <c r="C993" s="1">
        <v>66</v>
      </c>
      <c r="D993" s="1" t="s">
        <v>31</v>
      </c>
      <c r="E993" s="1">
        <v>160</v>
      </c>
    </row>
    <row r="994" spans="1:6" x14ac:dyDescent="0.2">
      <c r="A994" s="205">
        <v>0.5940509259259259</v>
      </c>
      <c r="B994" s="1" t="s">
        <v>1023</v>
      </c>
      <c r="C994" s="1">
        <v>59</v>
      </c>
      <c r="D994" s="1" t="s">
        <v>31</v>
      </c>
      <c r="E994" s="1">
        <v>160</v>
      </c>
    </row>
    <row r="995" spans="1:6" x14ac:dyDescent="0.2">
      <c r="A995" s="205">
        <v>0.59410879629629632</v>
      </c>
      <c r="B995" s="1" t="s">
        <v>1024</v>
      </c>
      <c r="C995" s="1">
        <v>74</v>
      </c>
      <c r="D995" s="1" t="s">
        <v>31</v>
      </c>
      <c r="E995" s="1">
        <v>175</v>
      </c>
    </row>
    <row r="996" spans="1:6" x14ac:dyDescent="0.2">
      <c r="A996" s="205">
        <v>0.59414351851851854</v>
      </c>
      <c r="B996" s="1" t="s">
        <v>1021</v>
      </c>
      <c r="C996" s="1">
        <v>66</v>
      </c>
      <c r="D996" s="1" t="s">
        <v>31</v>
      </c>
      <c r="E996" s="1">
        <v>-180</v>
      </c>
      <c r="F996" s="1">
        <v>450</v>
      </c>
    </row>
    <row r="997" spans="1:6" x14ac:dyDescent="0.2">
      <c r="A997" s="205">
        <v>0.59418981481481481</v>
      </c>
      <c r="B997" s="1" t="s">
        <v>1026</v>
      </c>
      <c r="C997" s="1">
        <v>83</v>
      </c>
      <c r="D997" s="1" t="s">
        <v>31</v>
      </c>
      <c r="E997" s="1">
        <v>180</v>
      </c>
    </row>
    <row r="998" spans="1:6" x14ac:dyDescent="0.2">
      <c r="A998" s="205">
        <v>0.59423611111111108</v>
      </c>
      <c r="B998" s="1" t="s">
        <v>1027</v>
      </c>
      <c r="C998" s="1">
        <v>83</v>
      </c>
      <c r="D998" s="1" t="s">
        <v>31</v>
      </c>
      <c r="E998" s="1">
        <v>200</v>
      </c>
    </row>
    <row r="999" spans="1:6" x14ac:dyDescent="0.2">
      <c r="A999" s="205">
        <v>0.5942708333333333</v>
      </c>
      <c r="B999" s="1" t="s">
        <v>1028</v>
      </c>
      <c r="C999" s="1">
        <v>83</v>
      </c>
      <c r="D999" s="1" t="s">
        <v>31</v>
      </c>
      <c r="E999" s="1">
        <v>-210</v>
      </c>
      <c r="F999" s="1">
        <v>600</v>
      </c>
    </row>
    <row r="1000" spans="1:6" x14ac:dyDescent="0.2">
      <c r="A1000" s="205">
        <v>0.59435185185185191</v>
      </c>
      <c r="B1000" s="1" t="s">
        <v>1009</v>
      </c>
      <c r="C1000" s="1">
        <v>59</v>
      </c>
      <c r="D1000" s="1" t="s">
        <v>35</v>
      </c>
      <c r="E1000" s="1">
        <v>-120</v>
      </c>
      <c r="F1000" s="1">
        <v>300</v>
      </c>
    </row>
    <row r="1001" spans="1:6" x14ac:dyDescent="0.2">
      <c r="A1001" s="205">
        <v>0.59437499999999999</v>
      </c>
      <c r="B1001" s="1" t="s">
        <v>1010</v>
      </c>
      <c r="C1001" s="1">
        <v>59</v>
      </c>
      <c r="D1001" s="1" t="s">
        <v>35</v>
      </c>
      <c r="E1001" s="1">
        <v>120</v>
      </c>
    </row>
    <row r="1002" spans="1:6" x14ac:dyDescent="0.2">
      <c r="A1002" s="205">
        <v>0.59438657407407403</v>
      </c>
      <c r="B1002" s="1" t="s">
        <v>1013</v>
      </c>
      <c r="C1002" s="1">
        <v>59</v>
      </c>
      <c r="D1002" s="1" t="s">
        <v>35</v>
      </c>
      <c r="E1002" s="1">
        <v>-125</v>
      </c>
      <c r="F1002" s="1">
        <v>360</v>
      </c>
    </row>
    <row r="1003" spans="1:6" x14ac:dyDescent="0.2">
      <c r="A1003" s="205">
        <v>0.59439814814814818</v>
      </c>
      <c r="B1003" s="1" t="s">
        <v>1017</v>
      </c>
      <c r="C1003" s="1">
        <v>59</v>
      </c>
      <c r="D1003" s="1" t="s">
        <v>35</v>
      </c>
      <c r="E1003" s="1">
        <v>140</v>
      </c>
    </row>
    <row r="1004" spans="1:6" x14ac:dyDescent="0.2">
      <c r="A1004" s="205">
        <v>0.59440972222222221</v>
      </c>
      <c r="B1004" s="1" t="s">
        <v>1023</v>
      </c>
      <c r="C1004" s="1">
        <v>59</v>
      </c>
      <c r="D1004" s="1" t="s">
        <v>35</v>
      </c>
      <c r="E1004" s="1">
        <v>165</v>
      </c>
    </row>
    <row r="1005" spans="1:6" x14ac:dyDescent="0.2">
      <c r="A1005" s="205">
        <v>0.59442129629629636</v>
      </c>
      <c r="B1005" s="1" t="s">
        <v>1018</v>
      </c>
      <c r="C1005" s="1">
        <v>66</v>
      </c>
      <c r="D1005" s="1" t="s">
        <v>35</v>
      </c>
      <c r="E1005" s="1">
        <v>170</v>
      </c>
    </row>
    <row r="1006" spans="1:6" x14ac:dyDescent="0.2">
      <c r="A1006" s="205">
        <v>0.59444444444444444</v>
      </c>
      <c r="B1006" s="1" t="s">
        <v>1021</v>
      </c>
      <c r="C1006" s="1">
        <v>66</v>
      </c>
      <c r="D1006" s="1" t="s">
        <v>35</v>
      </c>
      <c r="E1006" s="1">
        <v>-180</v>
      </c>
      <c r="F1006" s="1">
        <v>450</v>
      </c>
    </row>
    <row r="1007" spans="1:6" x14ac:dyDescent="0.2">
      <c r="A1007" s="205">
        <v>0.59445601851851848</v>
      </c>
      <c r="B1007" s="1" t="s">
        <v>1024</v>
      </c>
      <c r="C1007" s="1">
        <v>74</v>
      </c>
      <c r="D1007" s="1" t="s">
        <v>35</v>
      </c>
      <c r="E1007" s="1">
        <v>180</v>
      </c>
    </row>
    <row r="1008" spans="1:6" x14ac:dyDescent="0.2">
      <c r="A1008" s="205">
        <v>0.59446759259259263</v>
      </c>
      <c r="B1008" s="1" t="s">
        <v>1026</v>
      </c>
      <c r="C1008" s="1">
        <v>83</v>
      </c>
      <c r="D1008" s="1" t="s">
        <v>35</v>
      </c>
      <c r="E1008" s="1">
        <v>190</v>
      </c>
    </row>
    <row r="1009" spans="1:5" x14ac:dyDescent="0.2">
      <c r="A1009" s="205">
        <v>0.59447916666666667</v>
      </c>
      <c r="B1009" s="1" t="s">
        <v>1027</v>
      </c>
      <c r="C1009" s="1">
        <v>83</v>
      </c>
      <c r="D1009" s="1" t="s">
        <v>35</v>
      </c>
      <c r="E1009" s="1">
        <v>210</v>
      </c>
    </row>
    <row r="1010" spans="1:5" x14ac:dyDescent="0.2">
      <c r="A1010" s="205">
        <v>0.59449074074074071</v>
      </c>
      <c r="B1010" s="1" t="s">
        <v>1028</v>
      </c>
      <c r="C1010" s="1">
        <v>83</v>
      </c>
      <c r="D1010" s="1" t="s">
        <v>35</v>
      </c>
      <c r="E1010" s="1">
        <v>210</v>
      </c>
    </row>
    <row r="1011" spans="1:5" x14ac:dyDescent="0.2">
      <c r="A1011" s="205">
        <v>0.59450231481481486</v>
      </c>
      <c r="B1011" s="1" t="s">
        <v>1028</v>
      </c>
      <c r="C1011" s="1">
        <v>83</v>
      </c>
      <c r="D1011" s="1" t="s">
        <v>35</v>
      </c>
      <c r="E1011" s="1">
        <v>210</v>
      </c>
    </row>
    <row r="1012" spans="1:5" x14ac:dyDescent="0.2">
      <c r="A1012" s="205">
        <v>0.59465277777777781</v>
      </c>
      <c r="B1012" s="1" t="s">
        <v>1029</v>
      </c>
      <c r="C1012" s="1">
        <v>120</v>
      </c>
      <c r="D1012" s="1" t="s">
        <v>27</v>
      </c>
      <c r="E1012" s="1">
        <v>210</v>
      </c>
    </row>
    <row r="1013" spans="1:5" x14ac:dyDescent="0.2">
      <c r="A1013" s="205">
        <v>0.5947337962962963</v>
      </c>
      <c r="B1013" s="1" t="s">
        <v>1031</v>
      </c>
      <c r="C1013" s="1" t="s">
        <v>52</v>
      </c>
      <c r="D1013" s="1" t="s">
        <v>27</v>
      </c>
      <c r="E1013" s="1">
        <v>220</v>
      </c>
    </row>
    <row r="1014" spans="1:5" x14ac:dyDescent="0.2">
      <c r="A1014" s="205">
        <v>0.59478009259259257</v>
      </c>
      <c r="B1014" s="1" t="s">
        <v>1032</v>
      </c>
      <c r="C1014" s="1">
        <v>59</v>
      </c>
      <c r="D1014" s="1" t="s">
        <v>27</v>
      </c>
      <c r="E1014" s="1">
        <v>-230</v>
      </c>
    </row>
    <row r="1015" spans="1:5" x14ac:dyDescent="0.2">
      <c r="A1015" s="205">
        <v>0.59482638888888884</v>
      </c>
      <c r="B1015" s="1" t="s">
        <v>1033</v>
      </c>
      <c r="C1015" s="1">
        <v>120</v>
      </c>
      <c r="D1015" s="1" t="s">
        <v>27</v>
      </c>
      <c r="E1015" s="1">
        <v>240</v>
      </c>
    </row>
    <row r="1016" spans="1:5" x14ac:dyDescent="0.2">
      <c r="A1016" s="205">
        <v>0.59488425925925925</v>
      </c>
      <c r="B1016" s="1" t="s">
        <v>1035</v>
      </c>
      <c r="C1016" s="1">
        <v>93</v>
      </c>
      <c r="D1016" s="1" t="s">
        <v>27</v>
      </c>
      <c r="E1016" s="1">
        <v>250</v>
      </c>
    </row>
    <row r="1017" spans="1:5" x14ac:dyDescent="0.2">
      <c r="A1017" s="205">
        <v>0.59505787037037039</v>
      </c>
      <c r="B1017" s="1" t="s">
        <v>1036</v>
      </c>
      <c r="C1017" s="1" t="s">
        <v>52</v>
      </c>
      <c r="D1017" s="1" t="s">
        <v>27</v>
      </c>
      <c r="E1017" s="1">
        <v>260</v>
      </c>
    </row>
    <row r="1018" spans="1:5" x14ac:dyDescent="0.2">
      <c r="A1018" s="205">
        <v>0.5951157407407407</v>
      </c>
      <c r="B1018" s="1" t="s">
        <v>1038</v>
      </c>
      <c r="C1018" s="1" t="s">
        <v>52</v>
      </c>
      <c r="D1018" s="1" t="s">
        <v>27</v>
      </c>
      <c r="E1018" s="1">
        <v>270</v>
      </c>
    </row>
    <row r="1019" spans="1:5" x14ac:dyDescent="0.2">
      <c r="A1019" s="205">
        <v>0.59519675925925919</v>
      </c>
      <c r="B1019" s="1" t="s">
        <v>1029</v>
      </c>
      <c r="C1019" s="1">
        <v>120</v>
      </c>
      <c r="D1019" s="1" t="s">
        <v>31</v>
      </c>
      <c r="E1019" s="1">
        <v>220</v>
      </c>
    </row>
    <row r="1020" spans="1:5" x14ac:dyDescent="0.2">
      <c r="A1020" s="205">
        <v>0.59527777777777779</v>
      </c>
      <c r="B1020" s="1" t="s">
        <v>1031</v>
      </c>
      <c r="C1020" s="1" t="s">
        <v>52</v>
      </c>
      <c r="D1020" s="1" t="s">
        <v>31</v>
      </c>
      <c r="E1020" s="1">
        <v>230</v>
      </c>
    </row>
    <row r="1021" spans="1:5" x14ac:dyDescent="0.2">
      <c r="A1021" s="205">
        <v>0.59528935185185183</v>
      </c>
      <c r="B1021" s="1" t="s">
        <v>1032</v>
      </c>
      <c r="C1021" s="1">
        <v>59</v>
      </c>
      <c r="D1021" s="1" t="s">
        <v>31</v>
      </c>
      <c r="E1021" s="1">
        <v>-230</v>
      </c>
    </row>
    <row r="1022" spans="1:5" x14ac:dyDescent="0.2">
      <c r="A1022" s="205">
        <v>0.59540509259259256</v>
      </c>
      <c r="B1022" s="1" t="s">
        <v>1033</v>
      </c>
      <c r="C1022" s="1">
        <v>120</v>
      </c>
      <c r="D1022" s="1" t="s">
        <v>31</v>
      </c>
      <c r="E1022" s="1">
        <v>245</v>
      </c>
    </row>
    <row r="1023" spans="1:5" x14ac:dyDescent="0.2">
      <c r="A1023" s="205">
        <v>0.59541666666666659</v>
      </c>
      <c r="B1023" s="1" t="s">
        <v>1035</v>
      </c>
      <c r="C1023" s="1">
        <v>93</v>
      </c>
      <c r="D1023" s="1" t="s">
        <v>31</v>
      </c>
      <c r="E1023" s="1">
        <v>255</v>
      </c>
    </row>
    <row r="1024" spans="1:5" x14ac:dyDescent="0.2">
      <c r="A1024" s="205">
        <v>0.59542824074074074</v>
      </c>
      <c r="B1024" s="1" t="s">
        <v>1036</v>
      </c>
      <c r="C1024" s="1" t="s">
        <v>52</v>
      </c>
      <c r="D1024" s="1" t="s">
        <v>31</v>
      </c>
      <c r="E1024" s="1">
        <v>265</v>
      </c>
    </row>
    <row r="1025" spans="1:6" x14ac:dyDescent="0.2">
      <c r="A1025" s="205">
        <v>0.59543981481481478</v>
      </c>
      <c r="B1025" s="1" t="s">
        <v>1038</v>
      </c>
      <c r="C1025" s="1" t="s">
        <v>52</v>
      </c>
      <c r="D1025" s="1" t="s">
        <v>31</v>
      </c>
      <c r="E1025" s="1">
        <v>280</v>
      </c>
    </row>
    <row r="1026" spans="1:6" x14ac:dyDescent="0.2">
      <c r="A1026" s="205">
        <v>0.59548611111111105</v>
      </c>
      <c r="B1026" s="1" t="s">
        <v>1029</v>
      </c>
      <c r="C1026" s="1">
        <v>120</v>
      </c>
      <c r="D1026" s="1" t="s">
        <v>35</v>
      </c>
      <c r="E1026" s="1">
        <v>230</v>
      </c>
    </row>
    <row r="1027" spans="1:6" x14ac:dyDescent="0.2">
      <c r="A1027" s="205">
        <v>0.5954976851851852</v>
      </c>
      <c r="B1027" s="1" t="s">
        <v>1032</v>
      </c>
      <c r="C1027" s="1">
        <v>59</v>
      </c>
      <c r="D1027" s="1" t="s">
        <v>35</v>
      </c>
      <c r="E1027" s="1">
        <v>-230</v>
      </c>
    </row>
    <row r="1028" spans="1:6" x14ac:dyDescent="0.2">
      <c r="A1028" s="205">
        <v>0.59550925925925924</v>
      </c>
      <c r="B1028" s="1" t="s">
        <v>1031</v>
      </c>
      <c r="C1028" s="1" t="s">
        <v>52</v>
      </c>
      <c r="D1028" s="1" t="s">
        <v>35</v>
      </c>
      <c r="E1028" s="1">
        <v>240</v>
      </c>
    </row>
    <row r="1029" spans="1:6" x14ac:dyDescent="0.2">
      <c r="A1029" s="205">
        <v>0.59574074074074079</v>
      </c>
      <c r="B1029" s="1" t="s">
        <v>1009</v>
      </c>
      <c r="C1029" s="1">
        <v>59</v>
      </c>
      <c r="D1029" s="1" t="s">
        <v>29</v>
      </c>
      <c r="E1029" s="1">
        <v>100</v>
      </c>
    </row>
    <row r="1030" spans="1:6" x14ac:dyDescent="0.2">
      <c r="A1030" s="205">
        <v>0.59576388888888887</v>
      </c>
      <c r="B1030" s="1" t="s">
        <v>1010</v>
      </c>
      <c r="C1030" s="1">
        <v>59</v>
      </c>
      <c r="D1030" s="1" t="s">
        <v>29</v>
      </c>
      <c r="E1030" s="1">
        <v>-110</v>
      </c>
    </row>
    <row r="1031" spans="1:6" x14ac:dyDescent="0.2">
      <c r="A1031" s="205">
        <v>0.59577546296296291</v>
      </c>
      <c r="B1031" s="1" t="s">
        <v>1013</v>
      </c>
      <c r="C1031" s="1">
        <v>59</v>
      </c>
      <c r="D1031" s="1" t="s">
        <v>29</v>
      </c>
      <c r="E1031" s="1">
        <v>120</v>
      </c>
    </row>
    <row r="1032" spans="1:6" x14ac:dyDescent="0.2">
      <c r="A1032" s="205">
        <v>0.5960185185185185</v>
      </c>
      <c r="B1032" s="1" t="s">
        <v>1017</v>
      </c>
      <c r="C1032" s="1">
        <v>59</v>
      </c>
      <c r="D1032" s="1" t="s">
        <v>29</v>
      </c>
      <c r="E1032" s="1">
        <v>130</v>
      </c>
    </row>
    <row r="1033" spans="1:6" x14ac:dyDescent="0.2">
      <c r="A1033" s="205">
        <v>0.59604166666666669</v>
      </c>
      <c r="B1033" s="1" t="s">
        <v>1018</v>
      </c>
      <c r="C1033" s="1">
        <v>66</v>
      </c>
      <c r="D1033" s="1" t="s">
        <v>29</v>
      </c>
      <c r="E1033" s="1">
        <v>140</v>
      </c>
    </row>
    <row r="1034" spans="1:6" x14ac:dyDescent="0.2">
      <c r="A1034" s="205">
        <v>0.59605324074074073</v>
      </c>
      <c r="B1034" s="1" t="s">
        <v>1021</v>
      </c>
      <c r="C1034" s="1">
        <v>66</v>
      </c>
      <c r="D1034" s="1" t="s">
        <v>29</v>
      </c>
      <c r="E1034" s="1">
        <v>150</v>
      </c>
    </row>
    <row r="1035" spans="1:6" x14ac:dyDescent="0.2">
      <c r="A1035" s="205">
        <v>0.59606481481481477</v>
      </c>
      <c r="B1035" s="1" t="s">
        <v>1023</v>
      </c>
      <c r="C1035" s="1">
        <v>59</v>
      </c>
      <c r="D1035" s="1" t="s">
        <v>29</v>
      </c>
      <c r="E1035" s="1">
        <v>-160</v>
      </c>
      <c r="F1035" s="1">
        <v>525</v>
      </c>
    </row>
    <row r="1036" spans="1:6" x14ac:dyDescent="0.2">
      <c r="A1036" s="205">
        <v>0.59607638888888892</v>
      </c>
      <c r="B1036" s="1" t="s">
        <v>1024</v>
      </c>
      <c r="C1036" s="1">
        <v>74</v>
      </c>
      <c r="D1036" s="1" t="s">
        <v>29</v>
      </c>
      <c r="E1036" s="1">
        <v>170</v>
      </c>
    </row>
    <row r="1037" spans="1:6" x14ac:dyDescent="0.2">
      <c r="A1037" s="205">
        <v>0.59608796296296296</v>
      </c>
      <c r="B1037" s="1" t="s">
        <v>1026</v>
      </c>
      <c r="C1037" s="1">
        <v>83</v>
      </c>
      <c r="D1037" s="1" t="s">
        <v>29</v>
      </c>
      <c r="E1037" s="1">
        <v>180</v>
      </c>
    </row>
    <row r="1038" spans="1:6" x14ac:dyDescent="0.2">
      <c r="A1038" s="205">
        <v>0.59609953703703711</v>
      </c>
      <c r="B1038" s="1" t="s">
        <v>1027</v>
      </c>
      <c r="C1038" s="1">
        <v>83</v>
      </c>
      <c r="D1038" s="1" t="s">
        <v>29</v>
      </c>
      <c r="E1038" s="1">
        <v>190</v>
      </c>
    </row>
    <row r="1039" spans="1:6" x14ac:dyDescent="0.2">
      <c r="A1039" s="205">
        <v>0.59612268518518519</v>
      </c>
      <c r="B1039" s="1" t="s">
        <v>1028</v>
      </c>
      <c r="C1039" s="1">
        <v>83</v>
      </c>
      <c r="D1039" s="1" t="s">
        <v>29</v>
      </c>
      <c r="E1039" s="1">
        <v>200</v>
      </c>
    </row>
    <row r="1040" spans="1:6" x14ac:dyDescent="0.2">
      <c r="A1040" s="205">
        <v>0.59616898148148145</v>
      </c>
      <c r="B1040" s="1" t="s">
        <v>1009</v>
      </c>
      <c r="C1040" s="1">
        <v>59</v>
      </c>
      <c r="D1040" s="1" t="s">
        <v>33</v>
      </c>
      <c r="E1040" s="1">
        <v>-140</v>
      </c>
      <c r="F1040" s="1">
        <v>300</v>
      </c>
    </row>
    <row r="1041" spans="1:6" x14ac:dyDescent="0.2">
      <c r="A1041" s="205">
        <v>0.5961805555555556</v>
      </c>
      <c r="B1041" s="1" t="s">
        <v>1010</v>
      </c>
      <c r="C1041" s="1">
        <v>59</v>
      </c>
      <c r="D1041" s="1" t="s">
        <v>33</v>
      </c>
      <c r="E1041" s="1">
        <v>-150</v>
      </c>
    </row>
    <row r="1042" spans="1:6" x14ac:dyDescent="0.2">
      <c r="A1042" s="205">
        <v>0.59619212962962964</v>
      </c>
      <c r="B1042" s="1" t="s">
        <v>1013</v>
      </c>
      <c r="C1042" s="1">
        <v>59</v>
      </c>
      <c r="D1042" s="1" t="s">
        <v>33</v>
      </c>
      <c r="E1042" s="1">
        <v>160</v>
      </c>
    </row>
    <row r="1043" spans="1:6" x14ac:dyDescent="0.2">
      <c r="A1043" s="205">
        <v>0.59621527777777772</v>
      </c>
      <c r="B1043" s="1" t="s">
        <v>1017</v>
      </c>
      <c r="C1043" s="1">
        <v>59</v>
      </c>
      <c r="D1043" s="1" t="s">
        <v>33</v>
      </c>
      <c r="E1043" s="1">
        <v>170</v>
      </c>
    </row>
    <row r="1044" spans="1:6" x14ac:dyDescent="0.2">
      <c r="A1044" s="205">
        <v>0.59622685185185187</v>
      </c>
      <c r="B1044" s="1" t="s">
        <v>1018</v>
      </c>
      <c r="C1044" s="1">
        <v>66</v>
      </c>
      <c r="D1044" s="1" t="s">
        <v>33</v>
      </c>
      <c r="E1044" s="1">
        <v>180</v>
      </c>
    </row>
    <row r="1045" spans="1:6" x14ac:dyDescent="0.2">
      <c r="A1045" s="205">
        <v>0.59623842592592591</v>
      </c>
      <c r="B1045" s="1" t="s">
        <v>1021</v>
      </c>
      <c r="C1045" s="1">
        <v>66</v>
      </c>
      <c r="D1045" s="1" t="s">
        <v>33</v>
      </c>
      <c r="E1045" s="1">
        <v>190</v>
      </c>
    </row>
    <row r="1046" spans="1:6" x14ac:dyDescent="0.2">
      <c r="A1046" s="205">
        <v>0.59625000000000006</v>
      </c>
      <c r="B1046" s="1" t="s">
        <v>1023</v>
      </c>
      <c r="C1046" s="1">
        <v>59</v>
      </c>
      <c r="D1046" s="1" t="s">
        <v>33</v>
      </c>
      <c r="E1046" s="1">
        <v>200</v>
      </c>
    </row>
    <row r="1047" spans="1:6" x14ac:dyDescent="0.2">
      <c r="A1047" s="205">
        <v>0.5962615740740741</v>
      </c>
      <c r="B1047" s="1" t="s">
        <v>1024</v>
      </c>
      <c r="C1047" s="1">
        <v>74</v>
      </c>
      <c r="D1047" s="1" t="s">
        <v>33</v>
      </c>
      <c r="E1047" s="1">
        <v>210</v>
      </c>
    </row>
    <row r="1048" spans="1:6" x14ac:dyDescent="0.2">
      <c r="A1048" s="205">
        <v>0.59627314814814814</v>
      </c>
      <c r="B1048" s="1" t="s">
        <v>1028</v>
      </c>
      <c r="C1048" s="1">
        <v>83</v>
      </c>
      <c r="D1048" s="1" t="s">
        <v>33</v>
      </c>
      <c r="E1048" s="1">
        <v>210</v>
      </c>
    </row>
    <row r="1049" spans="1:6" x14ac:dyDescent="0.2">
      <c r="A1049" s="205">
        <v>0.59629629629629632</v>
      </c>
      <c r="B1049" s="1" t="s">
        <v>1026</v>
      </c>
      <c r="C1049" s="1">
        <v>83</v>
      </c>
      <c r="D1049" s="1" t="s">
        <v>33</v>
      </c>
      <c r="E1049" s="1">
        <v>220</v>
      </c>
    </row>
    <row r="1050" spans="1:6" x14ac:dyDescent="0.2">
      <c r="A1050" s="205">
        <v>0.59630787037037036</v>
      </c>
      <c r="B1050" s="1" t="s">
        <v>1027</v>
      </c>
      <c r="C1050" s="1">
        <v>83</v>
      </c>
      <c r="D1050" s="1" t="s">
        <v>33</v>
      </c>
      <c r="E1050" s="1">
        <v>230</v>
      </c>
    </row>
    <row r="1051" spans="1:6" x14ac:dyDescent="0.2">
      <c r="A1051" s="205">
        <v>0.59640046296296301</v>
      </c>
      <c r="B1051" s="1" t="s">
        <v>1010</v>
      </c>
      <c r="C1051" s="1">
        <v>59</v>
      </c>
      <c r="D1051" s="1" t="s">
        <v>37</v>
      </c>
      <c r="E1051" s="1">
        <v>-150</v>
      </c>
    </row>
    <row r="1052" spans="1:6" x14ac:dyDescent="0.2">
      <c r="A1052" s="205">
        <v>0.59652777777777777</v>
      </c>
      <c r="B1052" s="1" t="s">
        <v>1029</v>
      </c>
      <c r="C1052" s="1">
        <v>120</v>
      </c>
      <c r="D1052" s="1" t="s">
        <v>29</v>
      </c>
      <c r="E1052" s="1">
        <v>210</v>
      </c>
    </row>
    <row r="1053" spans="1:6" x14ac:dyDescent="0.2">
      <c r="A1053" s="205">
        <v>0.59653935185185192</v>
      </c>
      <c r="B1053" s="1" t="s">
        <v>1031</v>
      </c>
      <c r="C1053" s="1" t="s">
        <v>52</v>
      </c>
      <c r="D1053" s="1" t="s">
        <v>29</v>
      </c>
      <c r="E1053" s="1">
        <v>-220</v>
      </c>
      <c r="F1053" s="1">
        <v>690</v>
      </c>
    </row>
    <row r="1054" spans="1:6" x14ac:dyDescent="0.2">
      <c r="A1054" s="205">
        <v>0.59655092592592596</v>
      </c>
      <c r="B1054" s="1" t="s">
        <v>1032</v>
      </c>
      <c r="C1054" s="1">
        <v>59</v>
      </c>
      <c r="D1054" s="1" t="s">
        <v>29</v>
      </c>
      <c r="E1054" s="1">
        <v>-230</v>
      </c>
    </row>
    <row r="1055" spans="1:6" x14ac:dyDescent="0.2">
      <c r="A1055" s="205">
        <v>0.5965625</v>
      </c>
      <c r="B1055" s="1" t="s">
        <v>1033</v>
      </c>
      <c r="C1055" s="1">
        <v>120</v>
      </c>
      <c r="D1055" s="1" t="s">
        <v>29</v>
      </c>
      <c r="E1055" s="1">
        <v>240</v>
      </c>
    </row>
    <row r="1056" spans="1:6" x14ac:dyDescent="0.2">
      <c r="A1056" s="205">
        <v>0.59657407407407403</v>
      </c>
      <c r="B1056" s="1" t="s">
        <v>1035</v>
      </c>
      <c r="C1056" s="1">
        <v>93</v>
      </c>
      <c r="D1056" s="1" t="s">
        <v>29</v>
      </c>
      <c r="E1056" s="1">
        <v>250</v>
      </c>
    </row>
    <row r="1057" spans="1:6" x14ac:dyDescent="0.2">
      <c r="A1057" s="205">
        <v>0.59658564814814818</v>
      </c>
      <c r="B1057" s="1" t="s">
        <v>1036</v>
      </c>
      <c r="C1057" s="1" t="s">
        <v>52</v>
      </c>
      <c r="D1057" s="1" t="s">
        <v>29</v>
      </c>
      <c r="E1057" s="1">
        <v>260</v>
      </c>
    </row>
    <row r="1058" spans="1:6" x14ac:dyDescent="0.2">
      <c r="A1058" s="205">
        <v>0.59660879629629626</v>
      </c>
      <c r="B1058" s="1" t="s">
        <v>1038</v>
      </c>
      <c r="C1058" s="1" t="s">
        <v>52</v>
      </c>
      <c r="D1058" s="1" t="s">
        <v>29</v>
      </c>
      <c r="E1058" s="1">
        <v>270</v>
      </c>
    </row>
    <row r="1059" spans="1:6" x14ac:dyDescent="0.2">
      <c r="A1059" s="205">
        <v>0.59665509259259253</v>
      </c>
      <c r="B1059" s="1" t="s">
        <v>1029</v>
      </c>
      <c r="C1059" s="1">
        <v>120</v>
      </c>
      <c r="D1059" s="1" t="s">
        <v>33</v>
      </c>
      <c r="E1059" s="1">
        <v>220</v>
      </c>
    </row>
    <row r="1060" spans="1:6" x14ac:dyDescent="0.2">
      <c r="A1060" s="205">
        <v>0.59666666666666668</v>
      </c>
      <c r="B1060" s="1" t="s">
        <v>1031</v>
      </c>
      <c r="C1060" s="1" t="s">
        <v>52</v>
      </c>
      <c r="D1060" s="1" t="s">
        <v>33</v>
      </c>
      <c r="E1060" s="1">
        <v>230</v>
      </c>
    </row>
    <row r="1061" spans="1:6" x14ac:dyDescent="0.2">
      <c r="A1061" s="205">
        <v>0.59668981481481487</v>
      </c>
      <c r="B1061" s="1" t="s">
        <v>1032</v>
      </c>
      <c r="C1061" s="1">
        <v>59</v>
      </c>
      <c r="D1061" s="1" t="s">
        <v>33</v>
      </c>
      <c r="E1061" s="1">
        <v>240</v>
      </c>
    </row>
    <row r="1062" spans="1:6" x14ac:dyDescent="0.2">
      <c r="A1062" s="205">
        <v>0.59670138888888891</v>
      </c>
      <c r="B1062" s="1" t="s">
        <v>1033</v>
      </c>
      <c r="C1062" s="1">
        <v>120</v>
      </c>
      <c r="D1062" s="1" t="s">
        <v>33</v>
      </c>
      <c r="E1062" s="1">
        <v>250</v>
      </c>
    </row>
    <row r="1063" spans="1:6" x14ac:dyDescent="0.2">
      <c r="A1063" s="205">
        <v>0.59671296296296295</v>
      </c>
      <c r="B1063" s="1" t="s">
        <v>1035</v>
      </c>
      <c r="C1063" s="1">
        <v>93</v>
      </c>
      <c r="D1063" s="1" t="s">
        <v>33</v>
      </c>
      <c r="E1063" s="1">
        <v>260</v>
      </c>
    </row>
    <row r="1064" spans="1:6" x14ac:dyDescent="0.2">
      <c r="A1064" s="205">
        <v>0.59672453703703698</v>
      </c>
      <c r="B1064" s="1" t="s">
        <v>1036</v>
      </c>
      <c r="C1064" s="1" t="s">
        <v>52</v>
      </c>
      <c r="D1064" s="1" t="s">
        <v>33</v>
      </c>
      <c r="E1064" s="1">
        <v>270</v>
      </c>
    </row>
    <row r="1065" spans="1:6" x14ac:dyDescent="0.2">
      <c r="A1065" s="205">
        <v>0.59673611111111113</v>
      </c>
      <c r="B1065" s="1" t="s">
        <v>1038</v>
      </c>
      <c r="C1065" s="1" t="s">
        <v>52</v>
      </c>
      <c r="D1065" s="1" t="s">
        <v>33</v>
      </c>
      <c r="E1065" s="1">
        <v>280</v>
      </c>
    </row>
    <row r="1066" spans="1:6" x14ac:dyDescent="0.2">
      <c r="A1066" s="205">
        <v>0.59674768518518517</v>
      </c>
      <c r="B1066" s="1" t="s">
        <v>1038</v>
      </c>
      <c r="C1066" s="1" t="s">
        <v>52</v>
      </c>
      <c r="D1066" s="1" t="s">
        <v>33</v>
      </c>
      <c r="E1066" s="1">
        <v>280</v>
      </c>
    </row>
    <row r="1067" spans="1:6" x14ac:dyDescent="0.2">
      <c r="A1067" s="205">
        <v>0.59680555555555559</v>
      </c>
      <c r="B1067" s="1" t="s">
        <v>1029</v>
      </c>
      <c r="C1067" s="1">
        <v>120</v>
      </c>
      <c r="D1067" s="1" t="s">
        <v>30</v>
      </c>
      <c r="E1067" s="1">
        <v>210</v>
      </c>
      <c r="F1067" s="1">
        <v>660</v>
      </c>
    </row>
    <row r="1068" spans="1:6" x14ac:dyDescent="0.2">
      <c r="A1068" s="205">
        <v>0.59681712962962963</v>
      </c>
      <c r="B1068" s="1" t="s">
        <v>1031</v>
      </c>
      <c r="C1068" s="1" t="s">
        <v>52</v>
      </c>
      <c r="D1068" s="1" t="s">
        <v>30</v>
      </c>
      <c r="E1068" s="1">
        <v>220</v>
      </c>
      <c r="F1068" s="1">
        <v>690</v>
      </c>
    </row>
    <row r="1069" spans="1:6" x14ac:dyDescent="0.2">
      <c r="A1069" s="205">
        <v>0.59682870370370367</v>
      </c>
      <c r="B1069" s="1" t="s">
        <v>1032</v>
      </c>
      <c r="C1069" s="1">
        <v>59</v>
      </c>
      <c r="D1069" s="1" t="s">
        <v>30</v>
      </c>
      <c r="E1069" s="1">
        <v>230</v>
      </c>
    </row>
    <row r="1070" spans="1:6" x14ac:dyDescent="0.2">
      <c r="A1070" s="205">
        <v>0.59684027777777782</v>
      </c>
      <c r="B1070" s="1" t="s">
        <v>1033</v>
      </c>
      <c r="C1070" s="1">
        <v>120</v>
      </c>
      <c r="D1070" s="1" t="s">
        <v>30</v>
      </c>
      <c r="E1070" s="1">
        <v>240</v>
      </c>
      <c r="F1070" s="1">
        <v>735</v>
      </c>
    </row>
    <row r="1071" spans="1:6" x14ac:dyDescent="0.2">
      <c r="A1071" s="205">
        <v>0.59685185185185186</v>
      </c>
      <c r="B1071" s="1" t="s">
        <v>1035</v>
      </c>
      <c r="C1071" s="1">
        <v>93</v>
      </c>
      <c r="D1071" s="1" t="s">
        <v>30</v>
      </c>
      <c r="E1071" s="1">
        <v>250</v>
      </c>
      <c r="F1071" s="1">
        <v>765</v>
      </c>
    </row>
    <row r="1072" spans="1:6" x14ac:dyDescent="0.2">
      <c r="A1072" s="205">
        <v>0.59686342592592589</v>
      </c>
      <c r="B1072" s="1" t="s">
        <v>1036</v>
      </c>
      <c r="C1072" s="1" t="s">
        <v>52</v>
      </c>
      <c r="D1072" s="1" t="s">
        <v>30</v>
      </c>
      <c r="E1072" s="1">
        <v>260</v>
      </c>
      <c r="F1072" s="1">
        <v>795</v>
      </c>
    </row>
    <row r="1073" spans="1:6" x14ac:dyDescent="0.2">
      <c r="A1073" s="205">
        <v>0.59688657407407408</v>
      </c>
      <c r="B1073" s="1" t="s">
        <v>1038</v>
      </c>
      <c r="C1073" s="1" t="s">
        <v>52</v>
      </c>
      <c r="D1073" s="1" t="s">
        <v>30</v>
      </c>
      <c r="E1073" s="1">
        <v>270</v>
      </c>
      <c r="F1073" s="1">
        <v>830</v>
      </c>
    </row>
    <row r="1074" spans="1:6" x14ac:dyDescent="0.2">
      <c r="A1074" s="205">
        <v>0.59702546296296299</v>
      </c>
      <c r="B1074" s="1" t="s">
        <v>1009</v>
      </c>
      <c r="C1074" s="1">
        <v>59</v>
      </c>
      <c r="D1074" s="1" t="s">
        <v>30</v>
      </c>
      <c r="E1074" s="1">
        <v>100</v>
      </c>
      <c r="F1074" s="1">
        <v>300</v>
      </c>
    </row>
    <row r="1075" spans="1:6" x14ac:dyDescent="0.2">
      <c r="A1075" s="205">
        <v>0.59703703703703703</v>
      </c>
      <c r="B1075" s="1" t="s">
        <v>1010</v>
      </c>
      <c r="C1075" s="1">
        <v>59</v>
      </c>
      <c r="D1075" s="1" t="s">
        <v>30</v>
      </c>
      <c r="E1075" s="1">
        <v>110</v>
      </c>
    </row>
    <row r="1076" spans="1:6" x14ac:dyDescent="0.2">
      <c r="A1076" s="205">
        <v>0.59704861111111118</v>
      </c>
      <c r="B1076" s="1" t="s">
        <v>1013</v>
      </c>
      <c r="C1076" s="1">
        <v>59</v>
      </c>
      <c r="D1076" s="1" t="s">
        <v>30</v>
      </c>
      <c r="E1076" s="1">
        <v>120</v>
      </c>
      <c r="F1076" s="1">
        <v>400</v>
      </c>
    </row>
    <row r="1077" spans="1:6" x14ac:dyDescent="0.2">
      <c r="A1077" s="205">
        <v>0.59706018518518522</v>
      </c>
      <c r="B1077" s="1" t="s">
        <v>1017</v>
      </c>
      <c r="C1077" s="1">
        <v>59</v>
      </c>
      <c r="D1077" s="1" t="s">
        <v>30</v>
      </c>
      <c r="E1077" s="1">
        <v>130</v>
      </c>
      <c r="F1077" s="1">
        <v>440</v>
      </c>
    </row>
    <row r="1078" spans="1:6" x14ac:dyDescent="0.2">
      <c r="A1078" s="205">
        <v>0.59707175925925926</v>
      </c>
      <c r="B1078" s="1" t="s">
        <v>1018</v>
      </c>
      <c r="C1078" s="1">
        <v>66</v>
      </c>
      <c r="D1078" s="1" t="s">
        <v>30</v>
      </c>
      <c r="E1078" s="1">
        <v>140</v>
      </c>
      <c r="F1078" s="1">
        <v>490</v>
      </c>
    </row>
    <row r="1079" spans="1:6" x14ac:dyDescent="0.2">
      <c r="A1079" s="205">
        <v>0.5970833333333333</v>
      </c>
      <c r="B1079" s="1" t="s">
        <v>1021</v>
      </c>
      <c r="C1079" s="1">
        <v>66</v>
      </c>
      <c r="D1079" s="1" t="s">
        <v>30</v>
      </c>
      <c r="E1079" s="1">
        <v>150</v>
      </c>
      <c r="F1079" s="1">
        <v>490</v>
      </c>
    </row>
    <row r="1080" spans="1:6" x14ac:dyDescent="0.2">
      <c r="A1080" s="205">
        <v>0.59709490740740734</v>
      </c>
      <c r="B1080" s="1" t="s">
        <v>1023</v>
      </c>
      <c r="C1080" s="1">
        <v>59</v>
      </c>
      <c r="D1080" s="1" t="s">
        <v>30</v>
      </c>
      <c r="E1080" s="1">
        <v>160</v>
      </c>
      <c r="F1080" s="1">
        <v>525</v>
      </c>
    </row>
    <row r="1081" spans="1:6" x14ac:dyDescent="0.2">
      <c r="A1081" s="205">
        <v>0.59711805555555553</v>
      </c>
      <c r="B1081" s="1" t="s">
        <v>1024</v>
      </c>
      <c r="C1081" s="1">
        <v>74</v>
      </c>
      <c r="D1081" s="1" t="s">
        <v>30</v>
      </c>
      <c r="E1081" s="1">
        <v>170</v>
      </c>
      <c r="F1081" s="1">
        <v>560</v>
      </c>
    </row>
    <row r="1082" spans="1:6" x14ac:dyDescent="0.2">
      <c r="A1082" s="205">
        <v>0.59712962962962968</v>
      </c>
      <c r="B1082" s="1" t="s">
        <v>1026</v>
      </c>
      <c r="C1082" s="1">
        <v>83</v>
      </c>
      <c r="D1082" s="1" t="s">
        <v>30</v>
      </c>
      <c r="E1082" s="1">
        <v>180</v>
      </c>
      <c r="F1082" s="1">
        <v>590</v>
      </c>
    </row>
    <row r="1083" spans="1:6" x14ac:dyDescent="0.2">
      <c r="A1083" s="205">
        <v>0.59714120370370372</v>
      </c>
      <c r="B1083" s="1" t="s">
        <v>1027</v>
      </c>
      <c r="C1083" s="1">
        <v>83</v>
      </c>
      <c r="D1083" s="1" t="s">
        <v>30</v>
      </c>
      <c r="E1083" s="1">
        <v>190</v>
      </c>
      <c r="F1083" s="1">
        <v>630</v>
      </c>
    </row>
    <row r="1084" spans="1:6" x14ac:dyDescent="0.2">
      <c r="A1084" s="205">
        <v>0.59715277777777775</v>
      </c>
      <c r="B1084" s="1" t="s">
        <v>1028</v>
      </c>
      <c r="C1084" s="1">
        <v>83</v>
      </c>
      <c r="D1084" s="1" t="s">
        <v>30</v>
      </c>
      <c r="E1084" s="1">
        <v>200</v>
      </c>
      <c r="F1084" s="1">
        <v>620</v>
      </c>
    </row>
    <row r="1085" spans="1:6" x14ac:dyDescent="0.2">
      <c r="A1085" s="205">
        <v>0.59716435185185179</v>
      </c>
      <c r="B1085" s="1" t="s">
        <v>1028</v>
      </c>
      <c r="C1085" s="1">
        <v>83</v>
      </c>
      <c r="D1085" s="1" t="s">
        <v>30</v>
      </c>
      <c r="E1085" s="1">
        <v>200</v>
      </c>
      <c r="F1085" s="1">
        <v>620</v>
      </c>
    </row>
    <row r="1086" spans="1:6" x14ac:dyDescent="0.2">
      <c r="A1086" s="205">
        <v>0.59717592592592594</v>
      </c>
      <c r="B1086" s="1" t="s">
        <v>1028</v>
      </c>
      <c r="C1086" s="1">
        <v>83</v>
      </c>
      <c r="D1086" s="1" t="s">
        <v>30</v>
      </c>
      <c r="E1086" s="1">
        <v>200</v>
      </c>
      <c r="F1086" s="1">
        <v>620</v>
      </c>
    </row>
    <row r="1087" spans="1:6" x14ac:dyDescent="0.2">
      <c r="A1087" s="205">
        <v>0.59717592592592594</v>
      </c>
      <c r="B1087" s="1" t="s">
        <v>1028</v>
      </c>
      <c r="C1087" s="1">
        <v>83</v>
      </c>
      <c r="D1087" s="1" t="s">
        <v>30</v>
      </c>
      <c r="E1087" s="1">
        <v>200</v>
      </c>
      <c r="F1087" s="1">
        <v>620</v>
      </c>
    </row>
    <row r="1088" spans="1:6" x14ac:dyDescent="0.2">
      <c r="A1088" s="205">
        <v>0.61010416666666667</v>
      </c>
      <c r="B1088" s="1" t="s">
        <v>1009</v>
      </c>
      <c r="C1088" s="1">
        <v>47</v>
      </c>
      <c r="D1088" s="1" t="s">
        <v>27</v>
      </c>
      <c r="E1088" s="1">
        <v>100</v>
      </c>
    </row>
    <row r="1089" spans="1:5" x14ac:dyDescent="0.2">
      <c r="A1089" s="205">
        <v>0.61012731481481486</v>
      </c>
      <c r="B1089" s="1" t="s">
        <v>1010</v>
      </c>
      <c r="C1089" s="1">
        <v>47</v>
      </c>
      <c r="D1089" s="1" t="s">
        <v>27</v>
      </c>
      <c r="E1089" s="1">
        <v>110</v>
      </c>
    </row>
    <row r="1090" spans="1:5" x14ac:dyDescent="0.2">
      <c r="A1090" s="205">
        <v>0.6101388888888889</v>
      </c>
      <c r="B1090" s="1" t="s">
        <v>1013</v>
      </c>
      <c r="C1090" s="1">
        <v>52</v>
      </c>
      <c r="D1090" s="1" t="s">
        <v>27</v>
      </c>
      <c r="E1090" s="1">
        <v>120</v>
      </c>
    </row>
    <row r="1091" spans="1:5" x14ac:dyDescent="0.2">
      <c r="A1091" s="205">
        <v>0.61016203703703698</v>
      </c>
      <c r="B1091" s="1" t="s">
        <v>1017</v>
      </c>
      <c r="C1091" s="1">
        <v>57</v>
      </c>
      <c r="D1091" s="1" t="s">
        <v>27</v>
      </c>
      <c r="E1091" s="1">
        <v>130</v>
      </c>
    </row>
    <row r="1092" spans="1:5" x14ac:dyDescent="0.2">
      <c r="A1092" s="205">
        <v>0.61017361111111112</v>
      </c>
      <c r="B1092" s="1" t="s">
        <v>1018</v>
      </c>
      <c r="C1092" s="1">
        <v>72</v>
      </c>
      <c r="D1092" s="1" t="s">
        <v>27</v>
      </c>
      <c r="E1092" s="1">
        <v>140</v>
      </c>
    </row>
    <row r="1093" spans="1:5" x14ac:dyDescent="0.2">
      <c r="A1093" s="205">
        <v>0.61019675925925931</v>
      </c>
      <c r="B1093" s="1" t="s">
        <v>1021</v>
      </c>
      <c r="C1093" s="1">
        <v>63</v>
      </c>
      <c r="D1093" s="1" t="s">
        <v>27</v>
      </c>
      <c r="E1093" s="1">
        <v>150</v>
      </c>
    </row>
    <row r="1094" spans="1:5" x14ac:dyDescent="0.2">
      <c r="A1094" s="205">
        <v>0.61020833333333335</v>
      </c>
      <c r="B1094" s="1" t="s">
        <v>1023</v>
      </c>
      <c r="C1094" s="1">
        <v>57</v>
      </c>
      <c r="D1094" s="1" t="s">
        <v>27</v>
      </c>
      <c r="E1094" s="1">
        <v>160</v>
      </c>
    </row>
    <row r="1095" spans="1:5" x14ac:dyDescent="0.2">
      <c r="A1095" s="205">
        <v>0.61023148148148143</v>
      </c>
      <c r="B1095" s="1" t="s">
        <v>1024</v>
      </c>
      <c r="C1095" s="1">
        <v>72</v>
      </c>
      <c r="D1095" s="1" t="s">
        <v>27</v>
      </c>
      <c r="E1095" s="1">
        <v>170</v>
      </c>
    </row>
    <row r="1096" spans="1:5" x14ac:dyDescent="0.2">
      <c r="A1096" s="205">
        <v>0.61024305555555558</v>
      </c>
      <c r="B1096" s="1" t="s">
        <v>1026</v>
      </c>
      <c r="C1096" s="1">
        <v>84</v>
      </c>
      <c r="D1096" s="1" t="s">
        <v>27</v>
      </c>
      <c r="E1096" s="1">
        <v>180</v>
      </c>
    </row>
    <row r="1097" spans="1:5" x14ac:dyDescent="0.2">
      <c r="A1097" s="205">
        <v>0.61026620370370377</v>
      </c>
      <c r="B1097" s="1" t="s">
        <v>1027</v>
      </c>
      <c r="C1097" s="1">
        <v>84</v>
      </c>
      <c r="D1097" s="1" t="s">
        <v>27</v>
      </c>
      <c r="E1097" s="1">
        <v>190</v>
      </c>
    </row>
    <row r="1098" spans="1:5" x14ac:dyDescent="0.2">
      <c r="A1098" s="205">
        <v>0.61028935185185185</v>
      </c>
      <c r="B1098" s="1" t="s">
        <v>1028</v>
      </c>
      <c r="C1098" s="1">
        <v>84</v>
      </c>
      <c r="D1098" s="1" t="s">
        <v>27</v>
      </c>
      <c r="E1098" s="1">
        <v>200</v>
      </c>
    </row>
    <row r="1099" spans="1:5" x14ac:dyDescent="0.2">
      <c r="A1099" s="205">
        <v>0.61030092592592589</v>
      </c>
      <c r="B1099" s="1" t="s">
        <v>1028</v>
      </c>
      <c r="C1099" s="1">
        <v>84</v>
      </c>
      <c r="D1099" s="1" t="s">
        <v>27</v>
      </c>
      <c r="E1099" s="1">
        <v>200</v>
      </c>
    </row>
    <row r="1100" spans="1:5" x14ac:dyDescent="0.2">
      <c r="A1100" s="205">
        <v>0.61031250000000004</v>
      </c>
      <c r="B1100" s="1" t="s">
        <v>1028</v>
      </c>
      <c r="C1100" s="1">
        <v>84</v>
      </c>
      <c r="D1100" s="1" t="s">
        <v>27</v>
      </c>
      <c r="E1100" s="1">
        <v>200</v>
      </c>
    </row>
    <row r="1101" spans="1:5" x14ac:dyDescent="0.2">
      <c r="A1101" s="205">
        <v>0.61032407407407407</v>
      </c>
      <c r="B1101" s="1" t="s">
        <v>1028</v>
      </c>
      <c r="C1101" s="1">
        <v>84</v>
      </c>
      <c r="D1101" s="1" t="s">
        <v>27</v>
      </c>
      <c r="E1101" s="1">
        <v>200</v>
      </c>
    </row>
    <row r="1102" spans="1:5" x14ac:dyDescent="0.2">
      <c r="A1102" s="205">
        <v>0.61032407407407407</v>
      </c>
      <c r="B1102" s="1" t="s">
        <v>1028</v>
      </c>
      <c r="C1102" s="1">
        <v>84</v>
      </c>
      <c r="D1102" s="1" t="s">
        <v>27</v>
      </c>
      <c r="E1102" s="1">
        <v>200</v>
      </c>
    </row>
    <row r="1103" spans="1:5" x14ac:dyDescent="0.2">
      <c r="A1103" s="205">
        <v>0.61089120370370364</v>
      </c>
      <c r="B1103" s="1" t="s">
        <v>1009</v>
      </c>
      <c r="C1103" s="1">
        <v>47</v>
      </c>
      <c r="D1103" s="1" t="s">
        <v>27</v>
      </c>
      <c r="E1103" s="1">
        <v>100</v>
      </c>
    </row>
    <row r="1104" spans="1:5" x14ac:dyDescent="0.2">
      <c r="A1104" s="205">
        <v>0.61091435185185183</v>
      </c>
      <c r="B1104" s="1" t="s">
        <v>1010</v>
      </c>
      <c r="C1104" s="1">
        <v>47</v>
      </c>
      <c r="D1104" s="1" t="s">
        <v>27</v>
      </c>
      <c r="E1104" s="1">
        <v>110</v>
      </c>
    </row>
    <row r="1105" spans="1:5" x14ac:dyDescent="0.2">
      <c r="A1105" s="205">
        <v>0.61092592592592598</v>
      </c>
      <c r="B1105" s="1" t="s">
        <v>1013</v>
      </c>
      <c r="C1105" s="1">
        <v>52</v>
      </c>
      <c r="D1105" s="1" t="s">
        <v>27</v>
      </c>
      <c r="E1105" s="1">
        <v>120</v>
      </c>
    </row>
    <row r="1106" spans="1:5" x14ac:dyDescent="0.2">
      <c r="A1106" s="205">
        <v>0.61093750000000002</v>
      </c>
      <c r="B1106" s="1" t="s">
        <v>1017</v>
      </c>
      <c r="C1106" s="1">
        <v>57</v>
      </c>
      <c r="D1106" s="1" t="s">
        <v>27</v>
      </c>
      <c r="E1106" s="1">
        <v>130</v>
      </c>
    </row>
    <row r="1107" spans="1:5" x14ac:dyDescent="0.2">
      <c r="A1107" s="205">
        <v>0.6109606481481481</v>
      </c>
      <c r="B1107" s="1" t="s">
        <v>1018</v>
      </c>
      <c r="C1107" s="1">
        <v>72</v>
      </c>
      <c r="D1107" s="1" t="s">
        <v>27</v>
      </c>
      <c r="E1107" s="1">
        <v>140</v>
      </c>
    </row>
    <row r="1108" spans="1:5" x14ac:dyDescent="0.2">
      <c r="A1108" s="205">
        <v>0.61097222222222225</v>
      </c>
      <c r="B1108" s="1" t="s">
        <v>1021</v>
      </c>
      <c r="C1108" s="1">
        <v>63</v>
      </c>
      <c r="D1108" s="1" t="s">
        <v>27</v>
      </c>
      <c r="E1108" s="1">
        <v>150</v>
      </c>
    </row>
    <row r="1109" spans="1:5" x14ac:dyDescent="0.2">
      <c r="A1109" s="205">
        <v>0.61098379629629629</v>
      </c>
      <c r="B1109" s="1" t="s">
        <v>1023</v>
      </c>
      <c r="C1109" s="1">
        <v>57</v>
      </c>
      <c r="D1109" s="1" t="s">
        <v>27</v>
      </c>
      <c r="E1109" s="1">
        <v>160</v>
      </c>
    </row>
    <row r="1110" spans="1:5" x14ac:dyDescent="0.2">
      <c r="A1110" s="205">
        <v>0.61100694444444448</v>
      </c>
      <c r="B1110" s="1" t="s">
        <v>1024</v>
      </c>
      <c r="C1110" s="1">
        <v>72</v>
      </c>
      <c r="D1110" s="1" t="s">
        <v>27</v>
      </c>
      <c r="E1110" s="1">
        <v>170</v>
      </c>
    </row>
    <row r="1111" spans="1:5" x14ac:dyDescent="0.2">
      <c r="A1111" s="205">
        <v>0.61101851851851852</v>
      </c>
      <c r="B1111" s="1" t="s">
        <v>1026</v>
      </c>
      <c r="C1111" s="1">
        <v>84</v>
      </c>
      <c r="D1111" s="1" t="s">
        <v>27</v>
      </c>
      <c r="E1111" s="1">
        <v>180</v>
      </c>
    </row>
    <row r="1112" spans="1:5" x14ac:dyDescent="0.2">
      <c r="A1112" s="205">
        <v>0.61103009259259256</v>
      </c>
      <c r="B1112" s="1" t="s">
        <v>1027</v>
      </c>
      <c r="C1112" s="1">
        <v>84</v>
      </c>
      <c r="D1112" s="1" t="s">
        <v>27</v>
      </c>
      <c r="E1112" s="1">
        <v>190</v>
      </c>
    </row>
    <row r="1113" spans="1:5" x14ac:dyDescent="0.2">
      <c r="A1113" s="205">
        <v>0.61105324074074074</v>
      </c>
      <c r="B1113" s="1" t="s">
        <v>1028</v>
      </c>
      <c r="C1113" s="1">
        <v>84</v>
      </c>
      <c r="D1113" s="1" t="s">
        <v>27</v>
      </c>
      <c r="E1113" s="1">
        <v>200</v>
      </c>
    </row>
    <row r="1114" spans="1:5" x14ac:dyDescent="0.2">
      <c r="A1114" s="205">
        <v>0.61106481481481478</v>
      </c>
      <c r="B1114" s="1" t="s">
        <v>1028</v>
      </c>
      <c r="C1114" s="1">
        <v>84</v>
      </c>
      <c r="D1114" s="1" t="s">
        <v>27</v>
      </c>
      <c r="E1114" s="1">
        <v>200</v>
      </c>
    </row>
    <row r="1115" spans="1:5" x14ac:dyDescent="0.2">
      <c r="A1115" s="205">
        <v>0.61111111111111105</v>
      </c>
      <c r="B1115" s="1" t="s">
        <v>1028</v>
      </c>
      <c r="C1115" s="1">
        <v>84</v>
      </c>
      <c r="D1115" s="1" t="s">
        <v>27</v>
      </c>
      <c r="E1115" s="1">
        <v>200</v>
      </c>
    </row>
    <row r="1116" spans="1:5" x14ac:dyDescent="0.2">
      <c r="A1116" s="205">
        <v>0.6111226851851852</v>
      </c>
      <c r="B1116" s="1" t="s">
        <v>1028</v>
      </c>
      <c r="C1116" s="1">
        <v>84</v>
      </c>
      <c r="D1116" s="1" t="s">
        <v>27</v>
      </c>
      <c r="E1116" s="1">
        <v>200</v>
      </c>
    </row>
    <row r="1117" spans="1:5" x14ac:dyDescent="0.2">
      <c r="A1117" s="205">
        <v>0.6111805555555555</v>
      </c>
      <c r="B1117" s="1" t="s">
        <v>1029</v>
      </c>
      <c r="C1117" s="1" t="s">
        <v>53</v>
      </c>
      <c r="D1117" s="1" t="s">
        <v>27</v>
      </c>
      <c r="E1117" s="1">
        <v>210</v>
      </c>
    </row>
    <row r="1118" spans="1:5" x14ac:dyDescent="0.2">
      <c r="A1118" s="205">
        <v>0.61119212962962965</v>
      </c>
      <c r="B1118" s="1" t="s">
        <v>1031</v>
      </c>
      <c r="C1118" s="1" t="s">
        <v>53</v>
      </c>
      <c r="D1118" s="1" t="s">
        <v>27</v>
      </c>
      <c r="E1118" s="1">
        <v>220</v>
      </c>
    </row>
    <row r="1119" spans="1:5" x14ac:dyDescent="0.2">
      <c r="A1119" s="205">
        <v>0.61121527777777784</v>
      </c>
      <c r="B1119" s="1" t="s">
        <v>1032</v>
      </c>
      <c r="C1119" s="1">
        <v>52</v>
      </c>
      <c r="D1119" s="1" t="s">
        <v>27</v>
      </c>
      <c r="E1119" s="1">
        <v>230</v>
      </c>
    </row>
    <row r="1120" spans="1:5" x14ac:dyDescent="0.2">
      <c r="A1120" s="205">
        <v>0.61122685185185188</v>
      </c>
      <c r="B1120" s="1" t="s">
        <v>1033</v>
      </c>
      <c r="C1120" s="1" t="s">
        <v>53</v>
      </c>
      <c r="D1120" s="1" t="s">
        <v>27</v>
      </c>
      <c r="E1120" s="1">
        <v>240</v>
      </c>
    </row>
    <row r="1121" spans="1:5" x14ac:dyDescent="0.2">
      <c r="A1121" s="205">
        <v>0.61123842592592592</v>
      </c>
      <c r="B1121" s="1" t="s">
        <v>1035</v>
      </c>
      <c r="C1121" s="1" t="s">
        <v>53</v>
      </c>
      <c r="D1121" s="1" t="s">
        <v>27</v>
      </c>
      <c r="E1121" s="1">
        <v>250</v>
      </c>
    </row>
    <row r="1122" spans="1:5" x14ac:dyDescent="0.2">
      <c r="A1122" s="205">
        <v>0.61126157407407411</v>
      </c>
      <c r="B1122" s="1" t="s">
        <v>1036</v>
      </c>
      <c r="C1122" s="1" t="s">
        <v>53</v>
      </c>
      <c r="D1122" s="1" t="s">
        <v>27</v>
      </c>
      <c r="E1122" s="1">
        <v>260</v>
      </c>
    </row>
    <row r="1123" spans="1:5" x14ac:dyDescent="0.2">
      <c r="A1123" s="205">
        <v>0.61127314814814815</v>
      </c>
      <c r="B1123" s="1" t="s">
        <v>1038</v>
      </c>
      <c r="C1123" s="1" t="s">
        <v>53</v>
      </c>
      <c r="D1123" s="1" t="s">
        <v>27</v>
      </c>
      <c r="E1123" s="1">
        <v>270</v>
      </c>
    </row>
    <row r="1124" spans="1:5" x14ac:dyDescent="0.2">
      <c r="A1124" s="205">
        <v>0.6113425925925926</v>
      </c>
      <c r="B1124" s="1" t="s">
        <v>1029</v>
      </c>
      <c r="C1124" s="1" t="s">
        <v>53</v>
      </c>
      <c r="D1124" s="1" t="s">
        <v>29</v>
      </c>
      <c r="E1124" s="1">
        <v>-210</v>
      </c>
    </row>
    <row r="1125" spans="1:5" x14ac:dyDescent="0.2">
      <c r="A1125" s="205">
        <v>0.61135416666666664</v>
      </c>
      <c r="B1125" s="1" t="s">
        <v>1031</v>
      </c>
      <c r="C1125" s="1" t="s">
        <v>53</v>
      </c>
      <c r="D1125" s="1" t="s">
        <v>29</v>
      </c>
      <c r="E1125" s="1">
        <v>-220</v>
      </c>
    </row>
    <row r="1126" spans="1:5" x14ac:dyDescent="0.2">
      <c r="A1126" s="205">
        <v>0.61137731481481483</v>
      </c>
      <c r="B1126" s="1" t="s">
        <v>1032</v>
      </c>
      <c r="C1126" s="1">
        <v>52</v>
      </c>
      <c r="D1126" s="1" t="s">
        <v>29</v>
      </c>
      <c r="E1126" s="1">
        <v>230</v>
      </c>
    </row>
    <row r="1127" spans="1:5" x14ac:dyDescent="0.2">
      <c r="A1127" s="205">
        <v>0.61138888888888887</v>
      </c>
      <c r="B1127" s="1" t="s">
        <v>1033</v>
      </c>
      <c r="C1127" s="1" t="s">
        <v>53</v>
      </c>
      <c r="D1127" s="1" t="s">
        <v>29</v>
      </c>
      <c r="E1127" s="1">
        <v>240</v>
      </c>
    </row>
    <row r="1128" spans="1:5" x14ac:dyDescent="0.2">
      <c r="A1128" s="205">
        <v>0.61140046296296291</v>
      </c>
      <c r="B1128" s="1" t="s">
        <v>1035</v>
      </c>
      <c r="C1128" s="1" t="s">
        <v>53</v>
      </c>
      <c r="D1128" s="1" t="s">
        <v>29</v>
      </c>
      <c r="E1128" s="1">
        <v>250</v>
      </c>
    </row>
    <row r="1129" spans="1:5" x14ac:dyDescent="0.2">
      <c r="A1129" s="205">
        <v>0.6114236111111111</v>
      </c>
      <c r="B1129" s="1" t="s">
        <v>1036</v>
      </c>
      <c r="C1129" s="1" t="s">
        <v>53</v>
      </c>
      <c r="D1129" s="1" t="s">
        <v>29</v>
      </c>
      <c r="E1129" s="1">
        <v>260</v>
      </c>
    </row>
    <row r="1130" spans="1:5" x14ac:dyDescent="0.2">
      <c r="A1130" s="205">
        <v>0.61143518518518525</v>
      </c>
      <c r="B1130" s="1" t="s">
        <v>1038</v>
      </c>
      <c r="C1130" s="1" t="s">
        <v>53</v>
      </c>
      <c r="D1130" s="1" t="s">
        <v>29</v>
      </c>
      <c r="E1130" s="1">
        <v>270</v>
      </c>
    </row>
    <row r="1131" spans="1:5" x14ac:dyDescent="0.2">
      <c r="A1131" s="205">
        <v>0.61144675925925929</v>
      </c>
      <c r="B1131" s="1" t="s">
        <v>1038</v>
      </c>
      <c r="C1131" s="1" t="s">
        <v>53</v>
      </c>
      <c r="D1131" s="1" t="s">
        <v>29</v>
      </c>
      <c r="E1131" s="1">
        <v>270</v>
      </c>
    </row>
    <row r="1132" spans="1:5" x14ac:dyDescent="0.2">
      <c r="A1132" s="205">
        <v>0.61167824074074073</v>
      </c>
      <c r="B1132" s="1" t="s">
        <v>1009</v>
      </c>
      <c r="C1132" s="1">
        <v>47</v>
      </c>
      <c r="D1132" s="1" t="s">
        <v>29</v>
      </c>
      <c r="E1132" s="1">
        <v>100</v>
      </c>
    </row>
    <row r="1133" spans="1:5" x14ac:dyDescent="0.2">
      <c r="A1133" s="205">
        <v>0.61168981481481477</v>
      </c>
      <c r="B1133" s="1" t="s">
        <v>1010</v>
      </c>
      <c r="C1133" s="1">
        <v>47</v>
      </c>
      <c r="D1133" s="1" t="s">
        <v>29</v>
      </c>
      <c r="E1133" s="1">
        <v>110</v>
      </c>
    </row>
    <row r="1134" spans="1:5" x14ac:dyDescent="0.2">
      <c r="A1134" s="205">
        <v>0.61171296296296296</v>
      </c>
      <c r="B1134" s="1" t="s">
        <v>1013</v>
      </c>
      <c r="C1134" s="1">
        <v>52</v>
      </c>
      <c r="D1134" s="1" t="s">
        <v>29</v>
      </c>
      <c r="E1134" s="1">
        <v>120</v>
      </c>
    </row>
    <row r="1135" spans="1:5" x14ac:dyDescent="0.2">
      <c r="A1135" s="205">
        <v>0.61172453703703711</v>
      </c>
      <c r="B1135" s="1" t="s">
        <v>1017</v>
      </c>
      <c r="C1135" s="1">
        <v>57</v>
      </c>
      <c r="D1135" s="1" t="s">
        <v>29</v>
      </c>
      <c r="E1135" s="1">
        <v>130</v>
      </c>
    </row>
    <row r="1136" spans="1:5" x14ac:dyDescent="0.2">
      <c r="A1136" s="205">
        <v>0.61173611111111115</v>
      </c>
      <c r="B1136" s="1" t="s">
        <v>1018</v>
      </c>
      <c r="C1136" s="1">
        <v>72</v>
      </c>
      <c r="D1136" s="1" t="s">
        <v>29</v>
      </c>
      <c r="E1136" s="1">
        <v>140</v>
      </c>
    </row>
    <row r="1137" spans="1:6" x14ac:dyDescent="0.2">
      <c r="A1137" s="205">
        <v>0.61175925925925922</v>
      </c>
      <c r="B1137" s="1" t="s">
        <v>1021</v>
      </c>
      <c r="C1137" s="1">
        <v>63</v>
      </c>
      <c r="D1137" s="1" t="s">
        <v>29</v>
      </c>
      <c r="E1137" s="1">
        <v>150</v>
      </c>
    </row>
    <row r="1138" spans="1:6" x14ac:dyDescent="0.2">
      <c r="A1138" s="205">
        <v>0.61177083333333326</v>
      </c>
      <c r="B1138" s="1" t="s">
        <v>1023</v>
      </c>
      <c r="C1138" s="1">
        <v>57</v>
      </c>
      <c r="D1138" s="1" t="s">
        <v>29</v>
      </c>
      <c r="E1138" s="1">
        <v>160</v>
      </c>
    </row>
    <row r="1139" spans="1:6" x14ac:dyDescent="0.2">
      <c r="A1139" s="205">
        <v>0.61178240740740741</v>
      </c>
      <c r="B1139" s="1" t="s">
        <v>1024</v>
      </c>
      <c r="C1139" s="1">
        <v>72</v>
      </c>
      <c r="D1139" s="1" t="s">
        <v>29</v>
      </c>
      <c r="E1139" s="1">
        <v>170</v>
      </c>
    </row>
    <row r="1140" spans="1:6" x14ac:dyDescent="0.2">
      <c r="A1140" s="205">
        <v>0.61179398148148145</v>
      </c>
      <c r="B1140" s="1" t="s">
        <v>1026</v>
      </c>
      <c r="C1140" s="1">
        <v>84</v>
      </c>
      <c r="D1140" s="1" t="s">
        <v>29</v>
      </c>
      <c r="E1140" s="1">
        <v>180</v>
      </c>
    </row>
    <row r="1141" spans="1:6" x14ac:dyDescent="0.2">
      <c r="A1141" s="205">
        <v>0.61181712962962964</v>
      </c>
      <c r="B1141" s="1" t="s">
        <v>1027</v>
      </c>
      <c r="C1141" s="1">
        <v>84</v>
      </c>
      <c r="D1141" s="1" t="s">
        <v>29</v>
      </c>
      <c r="E1141" s="1">
        <v>190</v>
      </c>
    </row>
    <row r="1142" spans="1:6" x14ac:dyDescent="0.2">
      <c r="A1142" s="205">
        <v>0.61182870370370368</v>
      </c>
      <c r="B1142" s="1" t="s">
        <v>1028</v>
      </c>
      <c r="C1142" s="1">
        <v>84</v>
      </c>
      <c r="D1142" s="1" t="s">
        <v>29</v>
      </c>
      <c r="E1142" s="1">
        <v>200</v>
      </c>
    </row>
    <row r="1143" spans="1:6" x14ac:dyDescent="0.2">
      <c r="A1143" s="205">
        <v>0.61184027777777772</v>
      </c>
      <c r="B1143" s="1" t="s">
        <v>1028</v>
      </c>
      <c r="C1143" s="1">
        <v>84</v>
      </c>
      <c r="D1143" s="1" t="s">
        <v>29</v>
      </c>
      <c r="E1143" s="1">
        <v>200</v>
      </c>
    </row>
    <row r="1144" spans="1:6" x14ac:dyDescent="0.2">
      <c r="A1144" s="205">
        <v>0.61185185185185187</v>
      </c>
      <c r="B1144" s="1" t="s">
        <v>1028</v>
      </c>
      <c r="C1144" s="1">
        <v>84</v>
      </c>
      <c r="D1144" s="1" t="s">
        <v>29</v>
      </c>
      <c r="E1144" s="1">
        <v>200</v>
      </c>
    </row>
    <row r="1145" spans="1:6" x14ac:dyDescent="0.2">
      <c r="A1145" s="205">
        <v>0.61185185185185187</v>
      </c>
      <c r="B1145" s="1" t="s">
        <v>1028</v>
      </c>
      <c r="C1145" s="1">
        <v>84</v>
      </c>
      <c r="D1145" s="1" t="s">
        <v>29</v>
      </c>
      <c r="E1145" s="1">
        <v>200</v>
      </c>
    </row>
    <row r="1146" spans="1:6" x14ac:dyDescent="0.2">
      <c r="A1146" s="205">
        <v>0.61192129629629632</v>
      </c>
      <c r="B1146" s="1" t="s">
        <v>1009</v>
      </c>
      <c r="C1146" s="1">
        <v>47</v>
      </c>
      <c r="D1146" s="1" t="s">
        <v>30</v>
      </c>
      <c r="E1146" s="1">
        <v>100</v>
      </c>
      <c r="F1146" s="1">
        <v>300</v>
      </c>
    </row>
    <row r="1147" spans="1:6" x14ac:dyDescent="0.2">
      <c r="A1147" s="205">
        <v>0.61193287037037036</v>
      </c>
      <c r="B1147" s="1" t="s">
        <v>1010</v>
      </c>
      <c r="C1147" s="1">
        <v>47</v>
      </c>
      <c r="D1147" s="1" t="s">
        <v>30</v>
      </c>
      <c r="E1147" s="1">
        <v>110</v>
      </c>
      <c r="F1147" s="1">
        <v>330</v>
      </c>
    </row>
    <row r="1148" spans="1:6" x14ac:dyDescent="0.2">
      <c r="A1148" s="205">
        <v>0.61194444444444451</v>
      </c>
      <c r="B1148" s="1" t="s">
        <v>1013</v>
      </c>
      <c r="C1148" s="1">
        <v>52</v>
      </c>
      <c r="D1148" s="1" t="s">
        <v>30</v>
      </c>
      <c r="E1148" s="1">
        <v>120</v>
      </c>
      <c r="F1148" s="1">
        <v>360</v>
      </c>
    </row>
    <row r="1149" spans="1:6" x14ac:dyDescent="0.2">
      <c r="A1149" s="205">
        <v>0.61196759259259259</v>
      </c>
      <c r="B1149" s="1" t="s">
        <v>1017</v>
      </c>
      <c r="C1149" s="1">
        <v>57</v>
      </c>
      <c r="D1149" s="1" t="s">
        <v>30</v>
      </c>
      <c r="E1149" s="1">
        <v>130</v>
      </c>
      <c r="F1149" s="1">
        <v>390</v>
      </c>
    </row>
    <row r="1150" spans="1:6" x14ac:dyDescent="0.2">
      <c r="A1150" s="205">
        <v>0.61197916666666663</v>
      </c>
      <c r="B1150" s="1" t="s">
        <v>1018</v>
      </c>
      <c r="C1150" s="1">
        <v>72</v>
      </c>
      <c r="D1150" s="1" t="s">
        <v>30</v>
      </c>
      <c r="E1150" s="1">
        <v>140</v>
      </c>
      <c r="F1150" s="1">
        <v>420</v>
      </c>
    </row>
    <row r="1151" spans="1:6" x14ac:dyDescent="0.2">
      <c r="A1151" s="205">
        <v>0.61199074074074067</v>
      </c>
      <c r="B1151" s="1" t="s">
        <v>1021</v>
      </c>
      <c r="C1151" s="1">
        <v>63</v>
      </c>
      <c r="D1151" s="1" t="s">
        <v>30</v>
      </c>
      <c r="E1151" s="1">
        <v>150</v>
      </c>
      <c r="F1151" s="1">
        <v>450</v>
      </c>
    </row>
    <row r="1152" spans="1:6" x14ac:dyDescent="0.2">
      <c r="A1152" s="205">
        <v>0.61200231481481482</v>
      </c>
      <c r="B1152" s="1" t="s">
        <v>1023</v>
      </c>
      <c r="C1152" s="1">
        <v>57</v>
      </c>
      <c r="D1152" s="1" t="s">
        <v>30</v>
      </c>
      <c r="E1152" s="1">
        <v>160</v>
      </c>
      <c r="F1152" s="1">
        <v>480</v>
      </c>
    </row>
    <row r="1153" spans="1:6" x14ac:dyDescent="0.2">
      <c r="A1153" s="205">
        <v>0.61202546296296301</v>
      </c>
      <c r="B1153" s="1" t="s">
        <v>1024</v>
      </c>
      <c r="C1153" s="1">
        <v>72</v>
      </c>
      <c r="D1153" s="1" t="s">
        <v>30</v>
      </c>
      <c r="E1153" s="1">
        <v>170</v>
      </c>
      <c r="F1153" s="1">
        <v>510</v>
      </c>
    </row>
    <row r="1154" spans="1:6" x14ac:dyDescent="0.2">
      <c r="A1154" s="205">
        <v>0.61203703703703705</v>
      </c>
      <c r="B1154" s="1" t="s">
        <v>1026</v>
      </c>
      <c r="C1154" s="1">
        <v>84</v>
      </c>
      <c r="D1154" s="1" t="s">
        <v>30</v>
      </c>
      <c r="E1154" s="1">
        <v>180</v>
      </c>
      <c r="F1154" s="1">
        <v>540</v>
      </c>
    </row>
    <row r="1155" spans="1:6" x14ac:dyDescent="0.2">
      <c r="A1155" s="205">
        <v>0.61204861111111108</v>
      </c>
      <c r="B1155" s="1" t="s">
        <v>1027</v>
      </c>
      <c r="C1155" s="1">
        <v>84</v>
      </c>
      <c r="D1155" s="1" t="s">
        <v>30</v>
      </c>
      <c r="E1155" s="1">
        <v>190</v>
      </c>
      <c r="F1155" s="1">
        <v>570</v>
      </c>
    </row>
    <row r="1156" spans="1:6" x14ac:dyDescent="0.2">
      <c r="A1156" s="205">
        <v>0.61206018518518512</v>
      </c>
      <c r="B1156" s="1" t="s">
        <v>1028</v>
      </c>
      <c r="C1156" s="1">
        <v>84</v>
      </c>
      <c r="D1156" s="1" t="s">
        <v>30</v>
      </c>
      <c r="E1156" s="1">
        <v>200</v>
      </c>
      <c r="F1156" s="1">
        <v>600</v>
      </c>
    </row>
    <row r="1157" spans="1:6" x14ac:dyDescent="0.2">
      <c r="A1157" s="205">
        <v>0.61211805555555554</v>
      </c>
      <c r="B1157" s="1" t="s">
        <v>1028</v>
      </c>
      <c r="C1157" s="1">
        <v>84</v>
      </c>
      <c r="D1157" s="1" t="s">
        <v>30</v>
      </c>
      <c r="E1157" s="1">
        <v>200</v>
      </c>
      <c r="F1157" s="1">
        <v>600</v>
      </c>
    </row>
    <row r="1158" spans="1:6" x14ac:dyDescent="0.2">
      <c r="A1158" s="205">
        <v>0.61216435185185192</v>
      </c>
      <c r="B1158" s="1" t="s">
        <v>1029</v>
      </c>
      <c r="C1158" s="1" t="s">
        <v>53</v>
      </c>
      <c r="D1158" s="1" t="s">
        <v>30</v>
      </c>
      <c r="E1158" s="1">
        <v>210</v>
      </c>
    </row>
    <row r="1159" spans="1:6" x14ac:dyDescent="0.2">
      <c r="A1159" s="205">
        <v>0.6121875</v>
      </c>
      <c r="B1159" s="1" t="s">
        <v>1031</v>
      </c>
      <c r="C1159" s="1" t="s">
        <v>53</v>
      </c>
      <c r="D1159" s="1" t="s">
        <v>30</v>
      </c>
      <c r="E1159" s="1">
        <v>220</v>
      </c>
    </row>
    <row r="1160" spans="1:6" x14ac:dyDescent="0.2">
      <c r="A1160" s="205">
        <v>0.61219907407407403</v>
      </c>
      <c r="B1160" s="1" t="s">
        <v>1032</v>
      </c>
      <c r="C1160" s="1">
        <v>52</v>
      </c>
      <c r="D1160" s="1" t="s">
        <v>30</v>
      </c>
      <c r="E1160" s="1">
        <v>230</v>
      </c>
      <c r="F1160" s="1">
        <v>690</v>
      </c>
    </row>
    <row r="1161" spans="1:6" x14ac:dyDescent="0.2">
      <c r="A1161" s="205">
        <v>0.61232638888888891</v>
      </c>
      <c r="B1161" s="1" t="s">
        <v>1033</v>
      </c>
      <c r="C1161" s="1" t="s">
        <v>53</v>
      </c>
      <c r="D1161" s="1" t="s">
        <v>30</v>
      </c>
      <c r="E1161" s="1">
        <v>240</v>
      </c>
      <c r="F1161" s="1">
        <v>720</v>
      </c>
    </row>
    <row r="1162" spans="1:6" x14ac:dyDescent="0.2">
      <c r="A1162" s="205">
        <v>0.61234953703703698</v>
      </c>
      <c r="B1162" s="1" t="s">
        <v>1035</v>
      </c>
      <c r="C1162" s="1" t="s">
        <v>53</v>
      </c>
      <c r="D1162" s="1" t="s">
        <v>30</v>
      </c>
      <c r="E1162" s="1">
        <v>250</v>
      </c>
      <c r="F1162" s="1">
        <v>750</v>
      </c>
    </row>
    <row r="1163" spans="1:6" x14ac:dyDescent="0.2">
      <c r="A1163" s="205">
        <v>0.61236111111111113</v>
      </c>
      <c r="B1163" s="1" t="s">
        <v>1036</v>
      </c>
      <c r="C1163" s="1" t="s">
        <v>53</v>
      </c>
      <c r="D1163" s="1" t="s">
        <v>30</v>
      </c>
      <c r="E1163" s="1">
        <v>260</v>
      </c>
      <c r="F1163" s="1">
        <v>780</v>
      </c>
    </row>
    <row r="1164" spans="1:6" x14ac:dyDescent="0.2">
      <c r="A1164" s="205">
        <v>0.61237268518518517</v>
      </c>
      <c r="B1164" s="1" t="s">
        <v>1038</v>
      </c>
      <c r="C1164" s="1" t="s">
        <v>53</v>
      </c>
      <c r="D1164" s="1" t="s">
        <v>30</v>
      </c>
      <c r="E1164" s="1">
        <v>270</v>
      </c>
      <c r="F1164" s="1">
        <v>810</v>
      </c>
    </row>
    <row r="1165" spans="1:6" x14ac:dyDescent="0.2">
      <c r="A1165" s="205">
        <v>0.61239583333333336</v>
      </c>
      <c r="B1165" s="1" t="s">
        <v>1038</v>
      </c>
      <c r="C1165" s="1" t="s">
        <v>53</v>
      </c>
      <c r="D1165" s="1" t="s">
        <v>30</v>
      </c>
      <c r="E1165" s="1">
        <v>270</v>
      </c>
      <c r="F1165" s="1">
        <v>810</v>
      </c>
    </row>
    <row r="1166" spans="1:6" x14ac:dyDescent="0.2">
      <c r="A1166" s="205">
        <v>0.97392361111111114</v>
      </c>
      <c r="B1166" s="1" t="s">
        <v>1009</v>
      </c>
      <c r="C1166" s="1">
        <v>47</v>
      </c>
      <c r="D1166" s="1" t="s">
        <v>27</v>
      </c>
      <c r="E1166" s="1">
        <v>100</v>
      </c>
    </row>
    <row r="1167" spans="1:6" x14ac:dyDescent="0.2">
      <c r="A1167" s="205">
        <v>0.97403935185185186</v>
      </c>
      <c r="B1167" s="1" t="s">
        <v>1010</v>
      </c>
      <c r="C1167" s="1">
        <v>47</v>
      </c>
      <c r="D1167" s="1" t="s">
        <v>27</v>
      </c>
      <c r="E1167" s="1">
        <v>110</v>
      </c>
    </row>
    <row r="1168" spans="1:6" x14ac:dyDescent="0.2">
      <c r="A1168" s="205">
        <v>0.97425925925925927</v>
      </c>
      <c r="B1168" s="1" t="s">
        <v>1013</v>
      </c>
      <c r="C1168" s="1">
        <v>52</v>
      </c>
      <c r="D1168" s="1" t="s">
        <v>27</v>
      </c>
      <c r="E1168" s="1">
        <v>120</v>
      </c>
    </row>
    <row r="1169" spans="1:5" x14ac:dyDescent="0.2">
      <c r="A1169" s="205">
        <v>0.6329745370370371</v>
      </c>
      <c r="B1169" s="1" t="s">
        <v>1017</v>
      </c>
      <c r="C1169" s="1">
        <v>57</v>
      </c>
      <c r="D1169" s="1" t="s">
        <v>27</v>
      </c>
      <c r="E1169" s="1">
        <v>130</v>
      </c>
    </row>
    <row r="1170" spans="1:5" x14ac:dyDescent="0.2">
      <c r="A1170" s="205">
        <v>0.63304398148148155</v>
      </c>
      <c r="B1170" s="1" t="s">
        <v>1018</v>
      </c>
      <c r="C1170" s="1">
        <v>72</v>
      </c>
      <c r="D1170" s="1" t="s">
        <v>27</v>
      </c>
      <c r="E1170" s="1">
        <v>140</v>
      </c>
    </row>
    <row r="1171" spans="1:5" x14ac:dyDescent="0.2">
      <c r="A1171" s="205">
        <v>0.63306712962962963</v>
      </c>
      <c r="B1171" s="1" t="s">
        <v>1021</v>
      </c>
      <c r="C1171" s="1">
        <v>63</v>
      </c>
      <c r="D1171" s="1" t="s">
        <v>27</v>
      </c>
      <c r="E1171" s="1">
        <v>150</v>
      </c>
    </row>
    <row r="1172" spans="1:5" x14ac:dyDescent="0.2">
      <c r="A1172" s="205">
        <v>0.63309027777777771</v>
      </c>
      <c r="B1172" s="1" t="s">
        <v>1023</v>
      </c>
      <c r="C1172" s="1">
        <v>57</v>
      </c>
      <c r="D1172" s="1" t="s">
        <v>27</v>
      </c>
      <c r="E1172" s="1">
        <v>160</v>
      </c>
    </row>
    <row r="1173" spans="1:5" x14ac:dyDescent="0.2">
      <c r="A1173" s="205">
        <v>0.63315972222222217</v>
      </c>
      <c r="B1173" s="1" t="s">
        <v>1024</v>
      </c>
      <c r="C1173" s="1">
        <v>72</v>
      </c>
      <c r="D1173" s="1" t="s">
        <v>27</v>
      </c>
      <c r="E1173" s="1">
        <v>170</v>
      </c>
    </row>
    <row r="1174" spans="1:5" x14ac:dyDescent="0.2">
      <c r="A1174" s="205">
        <v>0.63321759259259258</v>
      </c>
      <c r="B1174" s="1" t="s">
        <v>1026</v>
      </c>
      <c r="C1174" s="1">
        <v>84</v>
      </c>
      <c r="D1174" s="1" t="s">
        <v>27</v>
      </c>
      <c r="E1174" s="1">
        <v>-180</v>
      </c>
    </row>
    <row r="1175" spans="1:5" x14ac:dyDescent="0.2">
      <c r="A1175" s="205">
        <v>0.6995717592592593</v>
      </c>
      <c r="B1175" s="1" t="s">
        <v>1009</v>
      </c>
      <c r="C1175" s="1">
        <v>47</v>
      </c>
      <c r="D1175" s="1" t="s">
        <v>27</v>
      </c>
      <c r="E1175" s="1">
        <v>100</v>
      </c>
    </row>
    <row r="1176" spans="1:5" x14ac:dyDescent="0.2">
      <c r="A1176" s="205">
        <v>0.6996296296296296</v>
      </c>
      <c r="B1176" s="1" t="s">
        <v>1010</v>
      </c>
      <c r="C1176" s="1">
        <v>47</v>
      </c>
      <c r="D1176" s="1" t="s">
        <v>27</v>
      </c>
      <c r="E1176" s="1">
        <v>110</v>
      </c>
    </row>
    <row r="1177" spans="1:5" x14ac:dyDescent="0.2">
      <c r="A1177" s="205">
        <v>0.69965277777777779</v>
      </c>
      <c r="B1177" s="1" t="s">
        <v>1013</v>
      </c>
      <c r="C1177" s="1">
        <v>52</v>
      </c>
      <c r="D1177" s="1" t="s">
        <v>27</v>
      </c>
      <c r="E1177" s="1">
        <v>120</v>
      </c>
    </row>
    <row r="1178" spans="1:5" x14ac:dyDescent="0.2">
      <c r="A1178" s="205">
        <v>0.69966435185185183</v>
      </c>
      <c r="B1178" s="1" t="s">
        <v>1017</v>
      </c>
      <c r="C1178" s="1">
        <v>57</v>
      </c>
      <c r="D1178" s="1" t="s">
        <v>27</v>
      </c>
      <c r="E1178" s="1">
        <v>130</v>
      </c>
    </row>
    <row r="1179" spans="1:5" x14ac:dyDescent="0.2">
      <c r="A1179" s="205">
        <v>0.69967592592592587</v>
      </c>
      <c r="B1179" s="1" t="s">
        <v>1018</v>
      </c>
      <c r="C1179" s="1">
        <v>72</v>
      </c>
      <c r="D1179" s="1" t="s">
        <v>27</v>
      </c>
      <c r="E1179" s="1">
        <v>140</v>
      </c>
    </row>
    <row r="1180" spans="1:5" x14ac:dyDescent="0.2">
      <c r="A1180" s="205">
        <v>0.6997106481481481</v>
      </c>
      <c r="B1180" s="1" t="s">
        <v>1021</v>
      </c>
      <c r="C1180" s="1">
        <v>63</v>
      </c>
      <c r="D1180" s="1" t="s">
        <v>27</v>
      </c>
      <c r="E1180" s="1">
        <v>150</v>
      </c>
    </row>
    <row r="1181" spans="1:5" x14ac:dyDescent="0.2">
      <c r="A1181" s="205">
        <v>0.69972222222222225</v>
      </c>
      <c r="B1181" s="1" t="s">
        <v>1023</v>
      </c>
      <c r="C1181" s="1">
        <v>57</v>
      </c>
      <c r="D1181" s="1" t="s">
        <v>27</v>
      </c>
      <c r="E1181" s="1">
        <v>160</v>
      </c>
    </row>
    <row r="1182" spans="1:5" x14ac:dyDescent="0.2">
      <c r="A1182" s="205">
        <v>0.69974537037037043</v>
      </c>
      <c r="B1182" s="1" t="s">
        <v>1024</v>
      </c>
      <c r="C1182" s="1">
        <v>72</v>
      </c>
      <c r="D1182" s="1" t="s">
        <v>27</v>
      </c>
      <c r="E1182" s="1">
        <v>170</v>
      </c>
    </row>
    <row r="1183" spans="1:5" x14ac:dyDescent="0.2">
      <c r="A1183" s="205">
        <v>0.69975694444444436</v>
      </c>
      <c r="B1183" s="1" t="s">
        <v>1026</v>
      </c>
      <c r="C1183" s="1">
        <v>84</v>
      </c>
      <c r="D1183" s="1" t="s">
        <v>27</v>
      </c>
      <c r="E1183" s="1">
        <v>180</v>
      </c>
    </row>
    <row r="1184" spans="1:5" x14ac:dyDescent="0.2">
      <c r="A1184" s="205">
        <v>0.69976851851851851</v>
      </c>
      <c r="B1184" s="1" t="s">
        <v>1027</v>
      </c>
      <c r="C1184" s="1">
        <v>84</v>
      </c>
      <c r="D1184" s="1" t="s">
        <v>27</v>
      </c>
      <c r="E1184" s="1">
        <v>190</v>
      </c>
    </row>
    <row r="1185" spans="1:5" x14ac:dyDescent="0.2">
      <c r="A1185" s="205">
        <v>0.6997916666666667</v>
      </c>
      <c r="B1185" s="1" t="s">
        <v>1028</v>
      </c>
      <c r="C1185" s="1">
        <v>84</v>
      </c>
      <c r="D1185" s="1" t="s">
        <v>27</v>
      </c>
      <c r="E1185" s="1">
        <v>200</v>
      </c>
    </row>
    <row r="1186" spans="1:5" x14ac:dyDescent="0.2">
      <c r="A1186" s="205">
        <v>0.69995370370370369</v>
      </c>
      <c r="B1186" s="1" t="s">
        <v>1029</v>
      </c>
      <c r="C1186" s="1" t="s">
        <v>53</v>
      </c>
      <c r="D1186" s="1" t="s">
        <v>27</v>
      </c>
      <c r="E1186" s="1">
        <v>210</v>
      </c>
    </row>
    <row r="1187" spans="1:5" x14ac:dyDescent="0.2">
      <c r="A1187" s="205">
        <v>0.69996527777777784</v>
      </c>
      <c r="B1187" s="1" t="s">
        <v>1031</v>
      </c>
      <c r="C1187" s="1" t="s">
        <v>53</v>
      </c>
      <c r="D1187" s="1" t="s">
        <v>27</v>
      </c>
      <c r="E1187" s="1">
        <v>220</v>
      </c>
    </row>
    <row r="1188" spans="1:5" x14ac:dyDescent="0.2">
      <c r="A1188" s="205">
        <v>0.69997685185185177</v>
      </c>
      <c r="B1188" s="1" t="s">
        <v>1032</v>
      </c>
      <c r="C1188" s="1">
        <v>52</v>
      </c>
      <c r="D1188" s="1" t="s">
        <v>27</v>
      </c>
      <c r="E1188" s="1">
        <v>230</v>
      </c>
    </row>
    <row r="1189" spans="1:5" x14ac:dyDescent="0.2">
      <c r="A1189" s="205">
        <v>0.69998842592592592</v>
      </c>
      <c r="B1189" s="1" t="s">
        <v>1033</v>
      </c>
      <c r="C1189" s="1" t="s">
        <v>53</v>
      </c>
      <c r="D1189" s="1" t="s">
        <v>27</v>
      </c>
      <c r="E1189" s="1">
        <v>240</v>
      </c>
    </row>
    <row r="1190" spans="1:5" x14ac:dyDescent="0.2">
      <c r="A1190" s="205">
        <v>0.70000000000000007</v>
      </c>
      <c r="B1190" s="1" t="s">
        <v>1035</v>
      </c>
      <c r="C1190" s="1" t="s">
        <v>53</v>
      </c>
      <c r="D1190" s="1" t="s">
        <v>27</v>
      </c>
      <c r="E1190" s="1">
        <v>250</v>
      </c>
    </row>
    <row r="1191" spans="1:5" x14ac:dyDescent="0.2">
      <c r="A1191" s="205">
        <v>0.70002314814814814</v>
      </c>
      <c r="B1191" s="1" t="s">
        <v>1036</v>
      </c>
      <c r="C1191" s="1" t="s">
        <v>53</v>
      </c>
      <c r="D1191" s="1" t="s">
        <v>27</v>
      </c>
      <c r="E1191" s="1">
        <v>260</v>
      </c>
    </row>
    <row r="1192" spans="1:5" x14ac:dyDescent="0.2">
      <c r="A1192" s="205">
        <v>0.70003472222222218</v>
      </c>
      <c r="B1192" s="1" t="s">
        <v>1038</v>
      </c>
      <c r="C1192" s="1" t="s">
        <v>53</v>
      </c>
      <c r="D1192" s="1" t="s">
        <v>27</v>
      </c>
      <c r="E1192" s="1">
        <v>270</v>
      </c>
    </row>
    <row r="1193" spans="1:5" x14ac:dyDescent="0.2">
      <c r="A1193" s="205">
        <v>0.7000925925925926</v>
      </c>
      <c r="B1193" s="1" t="s">
        <v>1029</v>
      </c>
      <c r="C1193" s="1" t="s">
        <v>53</v>
      </c>
      <c r="D1193" s="1" t="s">
        <v>29</v>
      </c>
      <c r="E1193" s="1">
        <v>210</v>
      </c>
    </row>
    <row r="1194" spans="1:5" x14ac:dyDescent="0.2">
      <c r="A1194" s="205">
        <v>0.70010416666666664</v>
      </c>
      <c r="B1194" s="1" t="s">
        <v>1031</v>
      </c>
      <c r="C1194" s="1" t="s">
        <v>53</v>
      </c>
      <c r="D1194" s="1" t="s">
        <v>29</v>
      </c>
      <c r="E1194" s="1">
        <v>220</v>
      </c>
    </row>
    <row r="1195" spans="1:5" x14ac:dyDescent="0.2">
      <c r="A1195" s="205">
        <v>0.70011574074074068</v>
      </c>
      <c r="B1195" s="1" t="s">
        <v>1032</v>
      </c>
      <c r="C1195" s="1">
        <v>52</v>
      </c>
      <c r="D1195" s="1" t="s">
        <v>29</v>
      </c>
      <c r="E1195" s="1">
        <v>230</v>
      </c>
    </row>
    <row r="1196" spans="1:5" x14ac:dyDescent="0.2">
      <c r="A1196" s="205">
        <v>0.70012731481481483</v>
      </c>
      <c r="B1196" s="1" t="s">
        <v>1033</v>
      </c>
      <c r="C1196" s="1" t="s">
        <v>53</v>
      </c>
      <c r="D1196" s="1" t="s">
        <v>29</v>
      </c>
      <c r="E1196" s="1">
        <v>240</v>
      </c>
    </row>
    <row r="1197" spans="1:5" x14ac:dyDescent="0.2">
      <c r="A1197" s="205">
        <v>0.70013888888888898</v>
      </c>
      <c r="B1197" s="1" t="s">
        <v>1035</v>
      </c>
      <c r="C1197" s="1" t="s">
        <v>53</v>
      </c>
      <c r="D1197" s="1" t="s">
        <v>29</v>
      </c>
      <c r="E1197" s="1">
        <v>250</v>
      </c>
    </row>
    <row r="1198" spans="1:5" x14ac:dyDescent="0.2">
      <c r="A1198" s="205">
        <v>0.70016203703703705</v>
      </c>
      <c r="B1198" s="1" t="s">
        <v>1036</v>
      </c>
      <c r="C1198" s="1" t="s">
        <v>53</v>
      </c>
      <c r="D1198" s="1" t="s">
        <v>29</v>
      </c>
      <c r="E1198" s="1">
        <v>260</v>
      </c>
    </row>
    <row r="1199" spans="1:5" x14ac:dyDescent="0.2">
      <c r="A1199" s="205">
        <v>0.70017361111111109</v>
      </c>
      <c r="B1199" s="1" t="s">
        <v>1038</v>
      </c>
      <c r="C1199" s="1" t="s">
        <v>53</v>
      </c>
      <c r="D1199" s="1" t="s">
        <v>29</v>
      </c>
      <c r="E1199" s="1">
        <v>270</v>
      </c>
    </row>
    <row r="1200" spans="1:5" x14ac:dyDescent="0.2">
      <c r="A1200" s="205">
        <v>0.70027777777777767</v>
      </c>
      <c r="B1200" s="1" t="s">
        <v>1038</v>
      </c>
      <c r="C1200" s="1" t="s">
        <v>53</v>
      </c>
      <c r="D1200" s="1" t="s">
        <v>29</v>
      </c>
      <c r="E1200" s="1">
        <v>270</v>
      </c>
    </row>
    <row r="1201" spans="1:6" x14ac:dyDescent="0.2">
      <c r="A1201" s="205">
        <v>0.70032407407407404</v>
      </c>
      <c r="B1201" s="1" t="s">
        <v>1009</v>
      </c>
      <c r="C1201" s="1">
        <v>47</v>
      </c>
      <c r="D1201" s="1" t="s">
        <v>29</v>
      </c>
      <c r="E1201" s="1">
        <v>100</v>
      </c>
    </row>
    <row r="1202" spans="1:6" x14ac:dyDescent="0.2">
      <c r="A1202" s="205">
        <v>0.70034722222222223</v>
      </c>
      <c r="B1202" s="1" t="s">
        <v>1010</v>
      </c>
      <c r="C1202" s="1">
        <v>47</v>
      </c>
      <c r="D1202" s="1" t="s">
        <v>29</v>
      </c>
      <c r="E1202" s="1">
        <v>110</v>
      </c>
    </row>
    <row r="1203" spans="1:6" x14ac:dyDescent="0.2">
      <c r="A1203" s="205">
        <v>0.70035879629629638</v>
      </c>
      <c r="B1203" s="1" t="s">
        <v>1013</v>
      </c>
      <c r="C1203" s="1">
        <v>52</v>
      </c>
      <c r="D1203" s="1" t="s">
        <v>29</v>
      </c>
      <c r="E1203" s="1">
        <v>120</v>
      </c>
    </row>
    <row r="1204" spans="1:6" x14ac:dyDescent="0.2">
      <c r="A1204" s="205">
        <v>0.70037037037037031</v>
      </c>
      <c r="B1204" s="1" t="s">
        <v>1017</v>
      </c>
      <c r="C1204" s="1">
        <v>57</v>
      </c>
      <c r="D1204" s="1" t="s">
        <v>29</v>
      </c>
      <c r="E1204" s="1">
        <v>130</v>
      </c>
    </row>
    <row r="1205" spans="1:6" x14ac:dyDescent="0.2">
      <c r="A1205" s="205">
        <v>0.70038194444444446</v>
      </c>
      <c r="B1205" s="1" t="s">
        <v>1018</v>
      </c>
      <c r="C1205" s="1">
        <v>72</v>
      </c>
      <c r="D1205" s="1" t="s">
        <v>29</v>
      </c>
      <c r="E1205" s="1">
        <v>140</v>
      </c>
    </row>
    <row r="1206" spans="1:6" x14ac:dyDescent="0.2">
      <c r="A1206" s="205">
        <v>0.7003935185185185</v>
      </c>
      <c r="B1206" s="1" t="s">
        <v>1021</v>
      </c>
      <c r="C1206" s="1">
        <v>63</v>
      </c>
      <c r="D1206" s="1" t="s">
        <v>29</v>
      </c>
      <c r="E1206" s="1">
        <v>150</v>
      </c>
    </row>
    <row r="1207" spans="1:6" x14ac:dyDescent="0.2">
      <c r="A1207" s="205">
        <v>0.70040509259259265</v>
      </c>
      <c r="B1207" s="1" t="s">
        <v>1023</v>
      </c>
      <c r="C1207" s="1">
        <v>57</v>
      </c>
      <c r="D1207" s="1" t="s">
        <v>29</v>
      </c>
      <c r="E1207" s="1">
        <v>160</v>
      </c>
    </row>
    <row r="1208" spans="1:6" x14ac:dyDescent="0.2">
      <c r="A1208" s="205">
        <v>0.70041666666666658</v>
      </c>
      <c r="B1208" s="1" t="s">
        <v>1024</v>
      </c>
      <c r="C1208" s="1">
        <v>72</v>
      </c>
      <c r="D1208" s="1" t="s">
        <v>29</v>
      </c>
      <c r="E1208" s="1">
        <v>170</v>
      </c>
    </row>
    <row r="1209" spans="1:6" x14ac:dyDescent="0.2">
      <c r="A1209" s="205">
        <v>0.70043981481481488</v>
      </c>
      <c r="B1209" s="1" t="s">
        <v>1026</v>
      </c>
      <c r="C1209" s="1">
        <v>84</v>
      </c>
      <c r="D1209" s="1" t="s">
        <v>29</v>
      </c>
      <c r="E1209" s="1">
        <v>180</v>
      </c>
    </row>
    <row r="1210" spans="1:6" x14ac:dyDescent="0.2">
      <c r="A1210" s="205">
        <v>0.70045138888888892</v>
      </c>
      <c r="B1210" s="1" t="s">
        <v>1027</v>
      </c>
      <c r="C1210" s="1">
        <v>84</v>
      </c>
      <c r="D1210" s="1" t="s">
        <v>29</v>
      </c>
      <c r="E1210" s="1">
        <v>190</v>
      </c>
    </row>
    <row r="1211" spans="1:6" x14ac:dyDescent="0.2">
      <c r="A1211" s="205">
        <v>0.70046296296296295</v>
      </c>
      <c r="B1211" s="1" t="s">
        <v>1028</v>
      </c>
      <c r="C1211" s="1">
        <v>84</v>
      </c>
      <c r="D1211" s="1" t="s">
        <v>29</v>
      </c>
      <c r="E1211" s="1">
        <v>200</v>
      </c>
    </row>
    <row r="1212" spans="1:6" x14ac:dyDescent="0.2">
      <c r="A1212" s="205">
        <v>0.70050925925925922</v>
      </c>
      <c r="B1212" s="1" t="s">
        <v>1009</v>
      </c>
      <c r="C1212" s="1">
        <v>47</v>
      </c>
      <c r="D1212" s="1" t="s">
        <v>30</v>
      </c>
      <c r="E1212" s="1">
        <v>100</v>
      </c>
      <c r="F1212" s="1">
        <v>300</v>
      </c>
    </row>
    <row r="1213" spans="1:6" x14ac:dyDescent="0.2">
      <c r="A1213" s="205">
        <v>0.70052083333333337</v>
      </c>
      <c r="B1213" s="1" t="s">
        <v>1010</v>
      </c>
      <c r="C1213" s="1">
        <v>47</v>
      </c>
      <c r="D1213" s="1" t="s">
        <v>30</v>
      </c>
      <c r="E1213" s="1">
        <v>110</v>
      </c>
      <c r="F1213" s="1">
        <v>330</v>
      </c>
    </row>
    <row r="1214" spans="1:6" x14ac:dyDescent="0.2">
      <c r="A1214" s="205">
        <v>0.70053240740740741</v>
      </c>
      <c r="B1214" s="1" t="s">
        <v>1013</v>
      </c>
      <c r="C1214" s="1">
        <v>52</v>
      </c>
      <c r="D1214" s="1" t="s">
        <v>30</v>
      </c>
      <c r="E1214" s="1">
        <v>120</v>
      </c>
      <c r="F1214" s="1">
        <v>360</v>
      </c>
    </row>
    <row r="1215" spans="1:6" x14ac:dyDescent="0.2">
      <c r="A1215" s="205">
        <v>0.70054398148148145</v>
      </c>
      <c r="B1215" s="1" t="s">
        <v>1017</v>
      </c>
      <c r="C1215" s="1">
        <v>57</v>
      </c>
      <c r="D1215" s="1" t="s">
        <v>30</v>
      </c>
      <c r="E1215" s="1">
        <v>130</v>
      </c>
      <c r="F1215" s="1">
        <v>390</v>
      </c>
    </row>
    <row r="1216" spans="1:6" x14ac:dyDescent="0.2">
      <c r="A1216" s="205">
        <v>0.70055555555555549</v>
      </c>
      <c r="B1216" s="1" t="s">
        <v>1018</v>
      </c>
      <c r="C1216" s="1">
        <v>72</v>
      </c>
      <c r="D1216" s="1" t="s">
        <v>30</v>
      </c>
      <c r="E1216" s="1">
        <v>140</v>
      </c>
      <c r="F1216" s="1">
        <v>420</v>
      </c>
    </row>
    <row r="1217" spans="1:6" x14ac:dyDescent="0.2">
      <c r="A1217" s="205">
        <v>0.70056712962962964</v>
      </c>
      <c r="B1217" s="1" t="s">
        <v>1021</v>
      </c>
      <c r="C1217" s="1">
        <v>63</v>
      </c>
      <c r="D1217" s="1" t="s">
        <v>30</v>
      </c>
      <c r="E1217" s="1">
        <v>150</v>
      </c>
      <c r="F1217" s="1">
        <v>450</v>
      </c>
    </row>
    <row r="1218" spans="1:6" x14ac:dyDescent="0.2">
      <c r="A1218" s="205">
        <v>0.70057870370370379</v>
      </c>
      <c r="B1218" s="1" t="s">
        <v>1023</v>
      </c>
      <c r="C1218" s="1">
        <v>57</v>
      </c>
      <c r="D1218" s="1" t="s">
        <v>30</v>
      </c>
      <c r="E1218" s="1">
        <v>160</v>
      </c>
      <c r="F1218" s="1">
        <v>480</v>
      </c>
    </row>
    <row r="1219" spans="1:6" x14ac:dyDescent="0.2">
      <c r="A1219" s="205">
        <v>0.70059027777777771</v>
      </c>
      <c r="B1219" s="1" t="s">
        <v>1024</v>
      </c>
      <c r="C1219" s="1">
        <v>72</v>
      </c>
      <c r="D1219" s="1" t="s">
        <v>30</v>
      </c>
      <c r="E1219" s="1">
        <v>170</v>
      </c>
      <c r="F1219" s="1">
        <v>510</v>
      </c>
    </row>
    <row r="1220" spans="1:6" x14ac:dyDescent="0.2">
      <c r="A1220" s="205">
        <v>0.70060185185185186</v>
      </c>
      <c r="B1220" s="1" t="s">
        <v>1026</v>
      </c>
      <c r="C1220" s="1">
        <v>84</v>
      </c>
      <c r="D1220" s="1" t="s">
        <v>30</v>
      </c>
      <c r="E1220" s="1">
        <v>180</v>
      </c>
      <c r="F1220" s="1">
        <v>540</v>
      </c>
    </row>
    <row r="1221" spans="1:6" x14ac:dyDescent="0.2">
      <c r="A1221" s="205">
        <v>0.70062500000000005</v>
      </c>
      <c r="B1221" s="1" t="s">
        <v>1027</v>
      </c>
      <c r="C1221" s="1">
        <v>84</v>
      </c>
      <c r="D1221" s="1" t="s">
        <v>30</v>
      </c>
      <c r="E1221" s="1">
        <v>190</v>
      </c>
      <c r="F1221" s="1">
        <v>570</v>
      </c>
    </row>
    <row r="1222" spans="1:6" x14ac:dyDescent="0.2">
      <c r="A1222" s="205">
        <v>0.70063657407407398</v>
      </c>
      <c r="B1222" s="1" t="s">
        <v>1028</v>
      </c>
      <c r="C1222" s="1">
        <v>84</v>
      </c>
      <c r="D1222" s="1" t="s">
        <v>30</v>
      </c>
      <c r="E1222" s="1">
        <v>200</v>
      </c>
      <c r="F1222" s="1">
        <v>600</v>
      </c>
    </row>
    <row r="1223" spans="1:6" x14ac:dyDescent="0.2">
      <c r="A1223" s="205">
        <v>0.70068287037037036</v>
      </c>
      <c r="B1223" s="1" t="s">
        <v>1028</v>
      </c>
      <c r="C1223" s="1">
        <v>84</v>
      </c>
      <c r="D1223" s="1" t="s">
        <v>30</v>
      </c>
      <c r="E1223" s="1">
        <v>200</v>
      </c>
      <c r="F1223" s="1">
        <v>600</v>
      </c>
    </row>
    <row r="1224" spans="1:6" x14ac:dyDescent="0.2">
      <c r="A1224" s="205">
        <v>0.70070601851851855</v>
      </c>
      <c r="B1224" s="1" t="s">
        <v>1028</v>
      </c>
      <c r="C1224" s="1">
        <v>84</v>
      </c>
      <c r="D1224" s="1" t="s">
        <v>30</v>
      </c>
      <c r="E1224" s="1">
        <v>200</v>
      </c>
      <c r="F1224" s="1">
        <v>600</v>
      </c>
    </row>
    <row r="1225" spans="1:6" x14ac:dyDescent="0.2">
      <c r="A1225" s="205">
        <v>0.70075231481481481</v>
      </c>
      <c r="B1225" s="1" t="s">
        <v>1029</v>
      </c>
      <c r="C1225" s="1" t="s">
        <v>53</v>
      </c>
      <c r="D1225" s="1" t="s">
        <v>30</v>
      </c>
      <c r="E1225" s="1">
        <v>210</v>
      </c>
      <c r="F1225" s="1">
        <v>630</v>
      </c>
    </row>
    <row r="1226" spans="1:6" x14ac:dyDescent="0.2">
      <c r="A1226" s="205">
        <v>0.70076388888888896</v>
      </c>
      <c r="B1226" s="1" t="s">
        <v>1031</v>
      </c>
      <c r="C1226" s="1" t="s">
        <v>53</v>
      </c>
      <c r="D1226" s="1" t="s">
        <v>30</v>
      </c>
      <c r="E1226" s="1">
        <v>220</v>
      </c>
      <c r="F1226" s="1">
        <v>660</v>
      </c>
    </row>
    <row r="1227" spans="1:6" x14ac:dyDescent="0.2">
      <c r="A1227" s="205">
        <v>0.70077546296296289</v>
      </c>
      <c r="B1227" s="1" t="s">
        <v>1032</v>
      </c>
      <c r="C1227" s="1">
        <v>52</v>
      </c>
      <c r="D1227" s="1" t="s">
        <v>30</v>
      </c>
      <c r="E1227" s="1">
        <v>230</v>
      </c>
      <c r="F1227" s="1">
        <v>690</v>
      </c>
    </row>
    <row r="1228" spans="1:6" x14ac:dyDescent="0.2">
      <c r="A1228" s="205">
        <v>0.70078703703703704</v>
      </c>
      <c r="B1228" s="1" t="s">
        <v>1033</v>
      </c>
      <c r="C1228" s="1" t="s">
        <v>53</v>
      </c>
      <c r="D1228" s="1" t="s">
        <v>30</v>
      </c>
      <c r="E1228" s="1">
        <v>240</v>
      </c>
      <c r="F1228" s="1">
        <v>720</v>
      </c>
    </row>
    <row r="1229" spans="1:6" x14ac:dyDescent="0.2">
      <c r="A1229" s="205">
        <v>0.70079861111111119</v>
      </c>
      <c r="B1229" s="1" t="s">
        <v>1035</v>
      </c>
      <c r="C1229" s="1" t="s">
        <v>53</v>
      </c>
      <c r="D1229" s="1" t="s">
        <v>30</v>
      </c>
      <c r="E1229" s="1">
        <v>250</v>
      </c>
      <c r="F1229" s="1">
        <v>750</v>
      </c>
    </row>
    <row r="1230" spans="1:6" x14ac:dyDescent="0.2">
      <c r="A1230" s="205">
        <v>0.70081018518518512</v>
      </c>
      <c r="B1230" s="1" t="s">
        <v>1036</v>
      </c>
      <c r="C1230" s="1" t="s">
        <v>53</v>
      </c>
      <c r="D1230" s="1" t="s">
        <v>30</v>
      </c>
      <c r="E1230" s="1">
        <v>260</v>
      </c>
      <c r="F1230" s="1">
        <v>780</v>
      </c>
    </row>
    <row r="1231" spans="1:6" x14ac:dyDescent="0.2">
      <c r="A1231" s="205">
        <v>0.70082175925925927</v>
      </c>
      <c r="B1231" s="1" t="s">
        <v>1038</v>
      </c>
      <c r="C1231" s="1" t="s">
        <v>53</v>
      </c>
      <c r="D1231" s="1" t="s">
        <v>30</v>
      </c>
      <c r="E1231" s="1">
        <v>270</v>
      </c>
      <c r="F1231" s="1">
        <v>810</v>
      </c>
    </row>
    <row r="1232" spans="1:6" x14ac:dyDescent="0.2">
      <c r="A1232" s="205">
        <v>0.70084490740740746</v>
      </c>
      <c r="B1232" s="1" t="s">
        <v>1038</v>
      </c>
      <c r="C1232" s="1" t="s">
        <v>53</v>
      </c>
      <c r="D1232" s="1" t="s">
        <v>30</v>
      </c>
      <c r="E1232" s="1">
        <v>270</v>
      </c>
      <c r="F1232" s="1">
        <v>810</v>
      </c>
    </row>
    <row r="1233" spans="1:5" x14ac:dyDescent="0.2">
      <c r="A1233" s="205">
        <v>0.49806712962962968</v>
      </c>
      <c r="B1233" s="1" t="s">
        <v>1009</v>
      </c>
      <c r="C1233" s="1" t="s">
        <v>53</v>
      </c>
      <c r="D1233" s="1" t="s">
        <v>27</v>
      </c>
      <c r="E1233" s="1">
        <v>280</v>
      </c>
    </row>
    <row r="1234" spans="1:5" x14ac:dyDescent="0.2">
      <c r="A1234" s="205">
        <v>0.49809027777777781</v>
      </c>
      <c r="B1234" s="1" t="s">
        <v>1009</v>
      </c>
      <c r="C1234" s="1" t="s">
        <v>53</v>
      </c>
      <c r="D1234" s="1" t="s">
        <v>27</v>
      </c>
      <c r="E1234" s="1">
        <v>280</v>
      </c>
    </row>
    <row r="1235" spans="1:5" x14ac:dyDescent="0.2">
      <c r="A1235" s="205">
        <v>0.49815972222222221</v>
      </c>
      <c r="B1235" s="1" t="s">
        <v>1009</v>
      </c>
      <c r="C1235" s="1" t="s">
        <v>53</v>
      </c>
      <c r="D1235" s="1" t="s">
        <v>27</v>
      </c>
      <c r="E1235" s="1">
        <v>280</v>
      </c>
    </row>
    <row r="1236" spans="1:5" x14ac:dyDescent="0.2">
      <c r="A1236" s="205">
        <v>0.49817129629629631</v>
      </c>
      <c r="B1236" s="1" t="s">
        <v>1010</v>
      </c>
      <c r="C1236" s="1" t="s">
        <v>53</v>
      </c>
      <c r="D1236" s="1" t="s">
        <v>27</v>
      </c>
      <c r="E1236" s="1">
        <v>290</v>
      </c>
    </row>
    <row r="1237" spans="1:5" x14ac:dyDescent="0.2">
      <c r="A1237" s="205">
        <v>0.49818287037037035</v>
      </c>
      <c r="B1237" s="1" t="s">
        <v>1013</v>
      </c>
      <c r="C1237" s="1" t="s">
        <v>52</v>
      </c>
      <c r="D1237" s="1" t="s">
        <v>27</v>
      </c>
      <c r="E1237" s="1">
        <v>300</v>
      </c>
    </row>
    <row r="1238" spans="1:5" x14ac:dyDescent="0.2">
      <c r="A1238" s="205">
        <v>0.49820601851851848</v>
      </c>
      <c r="B1238" s="1" t="s">
        <v>1017</v>
      </c>
      <c r="C1238" s="1" t="s">
        <v>52</v>
      </c>
      <c r="D1238" s="1" t="s">
        <v>27</v>
      </c>
      <c r="E1238" s="1">
        <v>310</v>
      </c>
    </row>
    <row r="1239" spans="1:5" x14ac:dyDescent="0.2">
      <c r="A1239" s="205">
        <v>0.49821759259259263</v>
      </c>
      <c r="B1239" s="1" t="s">
        <v>1018</v>
      </c>
      <c r="C1239" s="1" t="s">
        <v>52</v>
      </c>
      <c r="D1239" s="1" t="s">
        <v>27</v>
      </c>
      <c r="E1239" s="1">
        <v>320</v>
      </c>
    </row>
    <row r="1240" spans="1:5" x14ac:dyDescent="0.2">
      <c r="A1240" s="205">
        <v>0.49824074074074076</v>
      </c>
      <c r="B1240" s="1" t="s">
        <v>1021</v>
      </c>
      <c r="C1240" s="1" t="s">
        <v>52</v>
      </c>
      <c r="D1240" s="1" t="s">
        <v>27</v>
      </c>
      <c r="E1240" s="1">
        <v>330</v>
      </c>
    </row>
    <row r="1241" spans="1:5" x14ac:dyDescent="0.2">
      <c r="A1241" s="205">
        <v>0.4982523148148148</v>
      </c>
      <c r="B1241" s="1" t="s">
        <v>1023</v>
      </c>
      <c r="C1241" s="1" t="s">
        <v>52</v>
      </c>
      <c r="D1241" s="1" t="s">
        <v>27</v>
      </c>
      <c r="E1241" s="1">
        <v>340</v>
      </c>
    </row>
    <row r="1242" spans="1:5" x14ac:dyDescent="0.2">
      <c r="A1242" s="205">
        <v>0.49827546296296293</v>
      </c>
      <c r="B1242" s="1" t="s">
        <v>1024</v>
      </c>
      <c r="C1242" s="1" t="s">
        <v>52</v>
      </c>
      <c r="D1242" s="1" t="s">
        <v>27</v>
      </c>
      <c r="E1242" s="1">
        <v>350</v>
      </c>
    </row>
    <row r="1243" spans="1:5" x14ac:dyDescent="0.2">
      <c r="A1243" s="205">
        <v>0.49828703703703708</v>
      </c>
      <c r="B1243" s="1" t="s">
        <v>1026</v>
      </c>
      <c r="C1243" s="1" t="s">
        <v>52</v>
      </c>
      <c r="D1243" s="1" t="s">
        <v>27</v>
      </c>
      <c r="E1243" s="1">
        <v>360</v>
      </c>
    </row>
    <row r="1244" spans="1:5" x14ac:dyDescent="0.2">
      <c r="A1244" s="205">
        <v>0.49831018518518522</v>
      </c>
      <c r="B1244" s="1" t="s">
        <v>1027</v>
      </c>
      <c r="C1244" s="1" t="s">
        <v>52</v>
      </c>
      <c r="D1244" s="1" t="s">
        <v>27</v>
      </c>
      <c r="E1244" s="1">
        <v>370</v>
      </c>
    </row>
    <row r="1245" spans="1:5" x14ac:dyDescent="0.2">
      <c r="A1245" s="205">
        <v>0.49832175925925926</v>
      </c>
      <c r="B1245" s="1" t="s">
        <v>1028</v>
      </c>
      <c r="C1245" s="1" t="s">
        <v>52</v>
      </c>
      <c r="D1245" s="1" t="s">
        <v>27</v>
      </c>
      <c r="E1245" s="1">
        <v>380</v>
      </c>
    </row>
    <row r="1246" spans="1:5" x14ac:dyDescent="0.2">
      <c r="A1246" s="205">
        <v>0.49834490740740739</v>
      </c>
      <c r="B1246" s="1" t="s">
        <v>1029</v>
      </c>
      <c r="C1246" s="1" t="s">
        <v>52</v>
      </c>
      <c r="D1246" s="1" t="s">
        <v>27</v>
      </c>
      <c r="E1246" s="1">
        <v>390</v>
      </c>
    </row>
    <row r="1247" spans="1:5" x14ac:dyDescent="0.2">
      <c r="A1247" s="205">
        <v>0.49835648148148143</v>
      </c>
      <c r="B1247" s="1" t="s">
        <v>1031</v>
      </c>
      <c r="C1247" s="1" t="s">
        <v>52</v>
      </c>
      <c r="D1247" s="1" t="s">
        <v>27</v>
      </c>
      <c r="E1247" s="1">
        <v>400</v>
      </c>
    </row>
    <row r="1248" spans="1:5" x14ac:dyDescent="0.2">
      <c r="A1248" s="205">
        <v>0.49837962962962962</v>
      </c>
      <c r="B1248" s="1" t="s">
        <v>1032</v>
      </c>
      <c r="C1248" s="1" t="s">
        <v>52</v>
      </c>
      <c r="D1248" s="1" t="s">
        <v>27</v>
      </c>
      <c r="E1248" s="1">
        <v>410</v>
      </c>
    </row>
    <row r="1249" spans="1:5" x14ac:dyDescent="0.2">
      <c r="A1249" s="205">
        <v>0.49844907407407407</v>
      </c>
      <c r="B1249" s="1" t="s">
        <v>1033</v>
      </c>
      <c r="C1249" s="1" t="s">
        <v>52</v>
      </c>
      <c r="D1249" s="1" t="s">
        <v>27</v>
      </c>
      <c r="E1249" s="1">
        <v>420</v>
      </c>
    </row>
    <row r="1250" spans="1:5" x14ac:dyDescent="0.2">
      <c r="A1250" s="205">
        <v>0.49847222222222221</v>
      </c>
      <c r="B1250" s="1" t="s">
        <v>1035</v>
      </c>
      <c r="C1250" s="1" t="s">
        <v>52</v>
      </c>
      <c r="D1250" s="1" t="s">
        <v>27</v>
      </c>
      <c r="E1250" s="1">
        <v>430</v>
      </c>
    </row>
    <row r="1251" spans="1:5" x14ac:dyDescent="0.2">
      <c r="A1251" s="205">
        <v>0.49853009259259262</v>
      </c>
      <c r="B1251" s="1" t="s">
        <v>1009</v>
      </c>
      <c r="C1251" s="1" t="s">
        <v>53</v>
      </c>
      <c r="D1251" s="1" t="s">
        <v>29</v>
      </c>
      <c r="E1251" s="1">
        <v>280</v>
      </c>
    </row>
    <row r="1252" spans="1:5" x14ac:dyDescent="0.2">
      <c r="A1252" s="205">
        <v>0.49855324074074076</v>
      </c>
      <c r="B1252" s="1" t="s">
        <v>1010</v>
      </c>
      <c r="C1252" s="1" t="s">
        <v>53</v>
      </c>
      <c r="D1252" s="1" t="s">
        <v>29</v>
      </c>
      <c r="E1252" s="1">
        <v>290</v>
      </c>
    </row>
    <row r="1253" spans="1:5" x14ac:dyDescent="0.2">
      <c r="A1253" s="205">
        <v>0.49856481481481479</v>
      </c>
      <c r="B1253" s="1" t="s">
        <v>1013</v>
      </c>
      <c r="C1253" s="1" t="s">
        <v>52</v>
      </c>
      <c r="D1253" s="1" t="s">
        <v>29</v>
      </c>
      <c r="E1253" s="1">
        <v>300</v>
      </c>
    </row>
    <row r="1254" spans="1:5" x14ac:dyDescent="0.2">
      <c r="A1254" s="205">
        <v>0.49858796296296298</v>
      </c>
      <c r="B1254" s="1" t="s">
        <v>1017</v>
      </c>
      <c r="C1254" s="1" t="s">
        <v>52</v>
      </c>
      <c r="D1254" s="1" t="s">
        <v>29</v>
      </c>
      <c r="E1254" s="1">
        <v>310</v>
      </c>
    </row>
    <row r="1255" spans="1:5" x14ac:dyDescent="0.2">
      <c r="A1255" s="205">
        <v>0.49859953703703702</v>
      </c>
      <c r="B1255" s="1" t="s">
        <v>1018</v>
      </c>
      <c r="C1255" s="1" t="s">
        <v>52</v>
      </c>
      <c r="D1255" s="1" t="s">
        <v>29</v>
      </c>
      <c r="E1255" s="1">
        <v>320</v>
      </c>
    </row>
    <row r="1256" spans="1:5" x14ac:dyDescent="0.2">
      <c r="A1256" s="205">
        <v>0.49862268518518515</v>
      </c>
      <c r="B1256" s="1" t="s">
        <v>1021</v>
      </c>
      <c r="C1256" s="1" t="s">
        <v>52</v>
      </c>
      <c r="D1256" s="1" t="s">
        <v>29</v>
      </c>
      <c r="E1256" s="1">
        <v>330</v>
      </c>
    </row>
    <row r="1257" spans="1:5" x14ac:dyDescent="0.2">
      <c r="A1257" s="205">
        <v>0.49863425925925925</v>
      </c>
      <c r="B1257" s="1" t="s">
        <v>1023</v>
      </c>
      <c r="C1257" s="1" t="s">
        <v>52</v>
      </c>
      <c r="D1257" s="1" t="s">
        <v>29</v>
      </c>
      <c r="E1257" s="1">
        <v>340</v>
      </c>
    </row>
    <row r="1258" spans="1:5" x14ac:dyDescent="0.2">
      <c r="A1258" s="205">
        <v>0.49864583333333329</v>
      </c>
      <c r="B1258" s="1" t="s">
        <v>1024</v>
      </c>
      <c r="C1258" s="1" t="s">
        <v>52</v>
      </c>
      <c r="D1258" s="1" t="s">
        <v>29</v>
      </c>
      <c r="E1258" s="1">
        <v>350</v>
      </c>
    </row>
    <row r="1259" spans="1:5" x14ac:dyDescent="0.2">
      <c r="A1259" s="205">
        <v>0.49866898148148148</v>
      </c>
      <c r="B1259" s="1" t="s">
        <v>1026</v>
      </c>
      <c r="C1259" s="1" t="s">
        <v>52</v>
      </c>
      <c r="D1259" s="1" t="s">
        <v>29</v>
      </c>
      <c r="E1259" s="1">
        <v>360</v>
      </c>
    </row>
    <row r="1260" spans="1:5" x14ac:dyDescent="0.2">
      <c r="A1260" s="205">
        <v>0.49868055555555557</v>
      </c>
      <c r="B1260" s="1" t="s">
        <v>1027</v>
      </c>
      <c r="C1260" s="1" t="s">
        <v>52</v>
      </c>
      <c r="D1260" s="1" t="s">
        <v>29</v>
      </c>
      <c r="E1260" s="1">
        <v>370</v>
      </c>
    </row>
    <row r="1261" spans="1:5" x14ac:dyDescent="0.2">
      <c r="A1261" s="205">
        <v>0.49873842592592593</v>
      </c>
      <c r="B1261" s="1" t="s">
        <v>1028</v>
      </c>
      <c r="C1261" s="1" t="s">
        <v>52</v>
      </c>
      <c r="D1261" s="1" t="s">
        <v>29</v>
      </c>
      <c r="E1261" s="1">
        <v>380</v>
      </c>
    </row>
    <row r="1262" spans="1:5" x14ac:dyDescent="0.2">
      <c r="A1262" s="205">
        <v>0.49875000000000003</v>
      </c>
      <c r="B1262" s="1" t="s">
        <v>1029</v>
      </c>
      <c r="C1262" s="1" t="s">
        <v>52</v>
      </c>
      <c r="D1262" s="1" t="s">
        <v>29</v>
      </c>
      <c r="E1262" s="1">
        <v>390</v>
      </c>
    </row>
    <row r="1263" spans="1:5" x14ac:dyDescent="0.2">
      <c r="A1263" s="205">
        <v>0.49876157407407407</v>
      </c>
      <c r="B1263" s="1" t="s">
        <v>1031</v>
      </c>
      <c r="C1263" s="1" t="s">
        <v>52</v>
      </c>
      <c r="D1263" s="1" t="s">
        <v>29</v>
      </c>
      <c r="E1263" s="1">
        <v>400</v>
      </c>
    </row>
    <row r="1264" spans="1:5" x14ac:dyDescent="0.2">
      <c r="A1264" s="205">
        <v>0.4987847222222222</v>
      </c>
      <c r="B1264" s="1" t="s">
        <v>1032</v>
      </c>
      <c r="C1264" s="1" t="s">
        <v>52</v>
      </c>
      <c r="D1264" s="1" t="s">
        <v>29</v>
      </c>
      <c r="E1264" s="1">
        <v>410</v>
      </c>
    </row>
    <row r="1265" spans="1:6" x14ac:dyDescent="0.2">
      <c r="A1265" s="205">
        <v>0.49879629629629635</v>
      </c>
      <c r="B1265" s="1" t="s">
        <v>1033</v>
      </c>
      <c r="C1265" s="1" t="s">
        <v>52</v>
      </c>
      <c r="D1265" s="1" t="s">
        <v>29</v>
      </c>
      <c r="E1265" s="1">
        <v>420</v>
      </c>
    </row>
    <row r="1266" spans="1:6" x14ac:dyDescent="0.2">
      <c r="A1266" s="205">
        <v>0.49881944444444443</v>
      </c>
      <c r="B1266" s="1" t="s">
        <v>1035</v>
      </c>
      <c r="C1266" s="1" t="s">
        <v>52</v>
      </c>
      <c r="D1266" s="1" t="s">
        <v>29</v>
      </c>
      <c r="E1266" s="1">
        <v>430</v>
      </c>
    </row>
    <row r="1267" spans="1:6" x14ac:dyDescent="0.2">
      <c r="A1267" s="205">
        <v>0.49883101851851852</v>
      </c>
      <c r="B1267" s="1" t="s">
        <v>1035</v>
      </c>
      <c r="C1267" s="1" t="s">
        <v>52</v>
      </c>
      <c r="D1267" s="1" t="s">
        <v>29</v>
      </c>
      <c r="E1267" s="1">
        <v>430</v>
      </c>
    </row>
    <row r="1268" spans="1:6" x14ac:dyDescent="0.2">
      <c r="A1268" s="205">
        <v>0.49884259259259256</v>
      </c>
      <c r="B1268" s="1" t="s">
        <v>1035</v>
      </c>
      <c r="C1268" s="1" t="s">
        <v>52</v>
      </c>
      <c r="D1268" s="1" t="s">
        <v>29</v>
      </c>
      <c r="E1268" s="1">
        <v>430</v>
      </c>
    </row>
    <row r="1269" spans="1:6" x14ac:dyDescent="0.2">
      <c r="A1269" s="205">
        <v>0.49884259259259256</v>
      </c>
      <c r="B1269" s="1" t="s">
        <v>1035</v>
      </c>
      <c r="C1269" s="1" t="s">
        <v>52</v>
      </c>
      <c r="D1269" s="1" t="s">
        <v>29</v>
      </c>
      <c r="E1269" s="1">
        <v>430</v>
      </c>
    </row>
    <row r="1270" spans="1:6" x14ac:dyDescent="0.2">
      <c r="A1270" s="205">
        <v>0.49885416666666665</v>
      </c>
      <c r="B1270" s="1" t="s">
        <v>1035</v>
      </c>
      <c r="C1270" s="1" t="s">
        <v>52</v>
      </c>
      <c r="D1270" s="1" t="s">
        <v>29</v>
      </c>
      <c r="E1270" s="1">
        <v>430</v>
      </c>
    </row>
    <row r="1271" spans="1:6" x14ac:dyDescent="0.2">
      <c r="A1271" s="205">
        <v>0.49891203703703701</v>
      </c>
      <c r="B1271" s="1" t="s">
        <v>1009</v>
      </c>
      <c r="C1271" s="1" t="s">
        <v>53</v>
      </c>
      <c r="D1271" s="1" t="s">
        <v>30</v>
      </c>
      <c r="E1271" s="1">
        <v>280</v>
      </c>
      <c r="F1271" s="1">
        <v>840</v>
      </c>
    </row>
    <row r="1272" spans="1:6" x14ac:dyDescent="0.2">
      <c r="A1272" s="205">
        <v>0.49893518518518515</v>
      </c>
      <c r="B1272" s="1" t="s">
        <v>1010</v>
      </c>
      <c r="C1272" s="1" t="s">
        <v>53</v>
      </c>
      <c r="D1272" s="1" t="s">
        <v>30</v>
      </c>
      <c r="E1272" s="1">
        <v>290</v>
      </c>
      <c r="F1272" s="1">
        <v>870</v>
      </c>
    </row>
    <row r="1273" spans="1:6" x14ac:dyDescent="0.2">
      <c r="A1273" s="205">
        <v>0.4989467592592593</v>
      </c>
      <c r="B1273" s="1" t="s">
        <v>1013</v>
      </c>
      <c r="C1273" s="1" t="s">
        <v>52</v>
      </c>
      <c r="D1273" s="1" t="s">
        <v>30</v>
      </c>
      <c r="E1273" s="1">
        <v>300</v>
      </c>
      <c r="F1273" s="1">
        <v>900</v>
      </c>
    </row>
    <row r="1274" spans="1:6" x14ac:dyDescent="0.2">
      <c r="A1274" s="205">
        <v>0.49895833333333334</v>
      </c>
      <c r="B1274" s="1" t="s">
        <v>1017</v>
      </c>
      <c r="C1274" s="1" t="s">
        <v>52</v>
      </c>
      <c r="D1274" s="1" t="s">
        <v>30</v>
      </c>
      <c r="E1274" s="1">
        <v>310</v>
      </c>
      <c r="F1274" s="1">
        <v>930</v>
      </c>
    </row>
    <row r="1275" spans="1:6" x14ac:dyDescent="0.2">
      <c r="A1275" s="205">
        <v>0.49898148148148147</v>
      </c>
      <c r="B1275" s="1" t="s">
        <v>1018</v>
      </c>
      <c r="C1275" s="1" t="s">
        <v>52</v>
      </c>
      <c r="D1275" s="1" t="s">
        <v>30</v>
      </c>
      <c r="E1275" s="1">
        <v>320</v>
      </c>
      <c r="F1275" s="1">
        <v>960</v>
      </c>
    </row>
    <row r="1276" spans="1:6" x14ac:dyDescent="0.2">
      <c r="A1276" s="205">
        <v>0.49899305555555556</v>
      </c>
      <c r="B1276" s="1" t="s">
        <v>1021</v>
      </c>
      <c r="C1276" s="1" t="s">
        <v>52</v>
      </c>
      <c r="D1276" s="1" t="s">
        <v>30</v>
      </c>
      <c r="E1276" s="1">
        <v>330</v>
      </c>
      <c r="F1276" s="1">
        <v>990</v>
      </c>
    </row>
    <row r="1277" spans="1:6" x14ac:dyDescent="0.2">
      <c r="A1277" s="205">
        <v>0.4990046296296296</v>
      </c>
      <c r="B1277" s="1" t="s">
        <v>1023</v>
      </c>
      <c r="C1277" s="1" t="s">
        <v>52</v>
      </c>
      <c r="D1277" s="1" t="s">
        <v>30</v>
      </c>
      <c r="E1277" s="1">
        <v>340</v>
      </c>
      <c r="F1277" s="1">
        <v>1020</v>
      </c>
    </row>
    <row r="1278" spans="1:6" x14ac:dyDescent="0.2">
      <c r="A1278" s="205">
        <v>0.49902777777777779</v>
      </c>
      <c r="B1278" s="1" t="s">
        <v>1024</v>
      </c>
      <c r="C1278" s="1" t="s">
        <v>52</v>
      </c>
      <c r="D1278" s="1" t="s">
        <v>30</v>
      </c>
      <c r="E1278" s="1">
        <v>350</v>
      </c>
      <c r="F1278" s="1">
        <v>1050</v>
      </c>
    </row>
    <row r="1279" spans="1:6" x14ac:dyDescent="0.2">
      <c r="A1279" s="205">
        <v>0.49903935185185189</v>
      </c>
      <c r="B1279" s="1" t="s">
        <v>1026</v>
      </c>
      <c r="C1279" s="1" t="s">
        <v>52</v>
      </c>
      <c r="D1279" s="1" t="s">
        <v>30</v>
      </c>
      <c r="E1279" s="1">
        <v>360</v>
      </c>
      <c r="F1279" s="1">
        <v>1080</v>
      </c>
    </row>
    <row r="1280" spans="1:6" x14ac:dyDescent="0.2">
      <c r="A1280" s="205">
        <v>0.49905092592592593</v>
      </c>
      <c r="B1280" s="1" t="s">
        <v>1027</v>
      </c>
      <c r="C1280" s="1" t="s">
        <v>52</v>
      </c>
      <c r="D1280" s="1" t="s">
        <v>30</v>
      </c>
      <c r="E1280" s="1">
        <v>370</v>
      </c>
      <c r="F1280" s="1">
        <v>1110</v>
      </c>
    </row>
    <row r="1281" spans="1:6" x14ac:dyDescent="0.2">
      <c r="A1281" s="205">
        <v>0.49907407407407406</v>
      </c>
      <c r="B1281" s="1" t="s">
        <v>1028</v>
      </c>
      <c r="C1281" s="1" t="s">
        <v>52</v>
      </c>
      <c r="D1281" s="1" t="s">
        <v>30</v>
      </c>
      <c r="E1281" s="1">
        <v>380</v>
      </c>
      <c r="F1281" s="1">
        <v>1140</v>
      </c>
    </row>
    <row r="1282" spans="1:6" x14ac:dyDescent="0.2">
      <c r="A1282" s="205">
        <v>0.4990856481481481</v>
      </c>
      <c r="B1282" s="1" t="s">
        <v>1029</v>
      </c>
      <c r="C1282" s="1" t="s">
        <v>52</v>
      </c>
      <c r="D1282" s="1" t="s">
        <v>30</v>
      </c>
      <c r="E1282" s="1">
        <v>390</v>
      </c>
      <c r="F1282" s="1">
        <v>1170</v>
      </c>
    </row>
    <row r="1283" spans="1:6" x14ac:dyDescent="0.2">
      <c r="A1283" s="205">
        <v>0.49909722222222225</v>
      </c>
      <c r="B1283" s="1" t="s">
        <v>1031</v>
      </c>
      <c r="C1283" s="1" t="s">
        <v>52</v>
      </c>
      <c r="D1283" s="1" t="s">
        <v>30</v>
      </c>
      <c r="E1283" s="1">
        <v>400</v>
      </c>
      <c r="F1283" s="1">
        <v>1200</v>
      </c>
    </row>
    <row r="1284" spans="1:6" x14ac:dyDescent="0.2">
      <c r="A1284" s="205">
        <v>0.49912037037037038</v>
      </c>
      <c r="B1284" s="1" t="s">
        <v>1032</v>
      </c>
      <c r="C1284" s="1" t="s">
        <v>52</v>
      </c>
      <c r="D1284" s="1" t="s">
        <v>30</v>
      </c>
      <c r="E1284" s="1">
        <v>410</v>
      </c>
      <c r="F1284" s="1">
        <v>1230</v>
      </c>
    </row>
    <row r="1285" spans="1:6" x14ac:dyDescent="0.2">
      <c r="A1285" s="205">
        <v>0.49913194444444442</v>
      </c>
      <c r="B1285" s="1" t="s">
        <v>1033</v>
      </c>
      <c r="C1285" s="1" t="s">
        <v>52</v>
      </c>
      <c r="D1285" s="1" t="s">
        <v>30</v>
      </c>
      <c r="E1285" s="1">
        <v>420</v>
      </c>
      <c r="F1285" s="1">
        <v>1260</v>
      </c>
    </row>
    <row r="1286" spans="1:6" x14ac:dyDescent="0.2">
      <c r="A1286" s="205">
        <v>0.49915509259259255</v>
      </c>
      <c r="B1286" s="1" t="s">
        <v>1035</v>
      </c>
      <c r="C1286" s="1" t="s">
        <v>52</v>
      </c>
      <c r="D1286" s="1" t="s">
        <v>30</v>
      </c>
      <c r="E1286" s="1">
        <v>430</v>
      </c>
      <c r="F1286" s="1">
        <v>1290</v>
      </c>
    </row>
    <row r="1287" spans="1:6" x14ac:dyDescent="0.2">
      <c r="A1287" s="205">
        <v>0.4991666666666667</v>
      </c>
      <c r="B1287" s="1" t="s">
        <v>1035</v>
      </c>
      <c r="C1287" s="1" t="s">
        <v>52</v>
      </c>
      <c r="D1287" s="1" t="s">
        <v>30</v>
      </c>
      <c r="E1287" s="1">
        <v>430</v>
      </c>
      <c r="F1287" s="1">
        <v>1290</v>
      </c>
    </row>
    <row r="1288" spans="1:6" x14ac:dyDescent="0.2">
      <c r="A1288" s="205">
        <v>0.49917824074074074</v>
      </c>
      <c r="B1288" s="1" t="s">
        <v>1035</v>
      </c>
      <c r="C1288" s="1" t="s">
        <v>52</v>
      </c>
      <c r="D1288" s="1" t="s">
        <v>30</v>
      </c>
      <c r="E1288" s="1">
        <v>430</v>
      </c>
      <c r="F1288" s="1">
        <v>1290</v>
      </c>
    </row>
    <row r="1289" spans="1:6" x14ac:dyDescent="0.2">
      <c r="A1289" s="205">
        <v>0.41766203703703703</v>
      </c>
      <c r="B1289" s="1" t="s">
        <v>1084</v>
      </c>
      <c r="C1289" s="1">
        <v>52</v>
      </c>
      <c r="D1289" s="1" t="s">
        <v>27</v>
      </c>
      <c r="E1289" s="1">
        <v>80</v>
      </c>
    </row>
    <row r="1290" spans="1:6" x14ac:dyDescent="0.2">
      <c r="A1290" s="205">
        <v>0.41818287037037033</v>
      </c>
      <c r="B1290" s="1" t="s">
        <v>1085</v>
      </c>
      <c r="C1290" s="1">
        <v>52</v>
      </c>
      <c r="D1290" s="1" t="s">
        <v>27</v>
      </c>
      <c r="E1290" s="1">
        <v>80</v>
      </c>
    </row>
    <row r="1291" spans="1:6" x14ac:dyDescent="0.2">
      <c r="A1291" s="205">
        <v>0.41876157407407405</v>
      </c>
      <c r="B1291" s="1" t="s">
        <v>1083</v>
      </c>
      <c r="C1291" s="1">
        <v>47</v>
      </c>
      <c r="D1291" s="1" t="s">
        <v>27</v>
      </c>
      <c r="E1291" s="1">
        <v>-82.5</v>
      </c>
    </row>
    <row r="1292" spans="1:6" x14ac:dyDescent="0.2">
      <c r="A1292" s="205">
        <v>0.41957175925925921</v>
      </c>
      <c r="B1292" s="1" t="s">
        <v>1102</v>
      </c>
      <c r="C1292" s="1">
        <v>84</v>
      </c>
      <c r="D1292" s="1" t="s">
        <v>27</v>
      </c>
      <c r="E1292" s="1">
        <v>90</v>
      </c>
    </row>
    <row r="1293" spans="1:6" x14ac:dyDescent="0.2">
      <c r="A1293" s="205">
        <v>0.4206597222222222</v>
      </c>
      <c r="B1293" s="1" t="s">
        <v>1086</v>
      </c>
      <c r="C1293" s="1">
        <v>52</v>
      </c>
      <c r="D1293" s="1" t="s">
        <v>27</v>
      </c>
      <c r="E1293" s="1">
        <v>95</v>
      </c>
    </row>
    <row r="1294" spans="1:6" x14ac:dyDescent="0.2">
      <c r="A1294" s="205">
        <v>0.42130787037037037</v>
      </c>
      <c r="B1294" s="1" t="s">
        <v>1090</v>
      </c>
      <c r="C1294" s="1">
        <v>72</v>
      </c>
      <c r="D1294" s="1" t="s">
        <v>27</v>
      </c>
      <c r="E1294" s="1">
        <v>95</v>
      </c>
    </row>
    <row r="1295" spans="1:6" x14ac:dyDescent="0.2">
      <c r="A1295" s="205">
        <v>0.42184027777777783</v>
      </c>
      <c r="B1295" s="1" t="s">
        <v>1087</v>
      </c>
      <c r="C1295" s="1">
        <v>57</v>
      </c>
      <c r="D1295" s="1" t="s">
        <v>27</v>
      </c>
      <c r="E1295" s="1">
        <v>100</v>
      </c>
    </row>
    <row r="1296" spans="1:6" x14ac:dyDescent="0.2">
      <c r="A1296" s="205">
        <v>0.4224074074074074</v>
      </c>
      <c r="B1296" s="1" t="s">
        <v>1089</v>
      </c>
      <c r="C1296" s="1">
        <v>63</v>
      </c>
      <c r="D1296" s="1" t="s">
        <v>27</v>
      </c>
      <c r="E1296" s="1">
        <v>100</v>
      </c>
    </row>
    <row r="1297" spans="1:6" x14ac:dyDescent="0.2">
      <c r="A1297" s="205">
        <v>0.42313657407407407</v>
      </c>
      <c r="B1297" s="1" t="s">
        <v>1088</v>
      </c>
      <c r="C1297" s="1">
        <v>63</v>
      </c>
      <c r="D1297" s="1" t="s">
        <v>27</v>
      </c>
      <c r="E1297" s="1">
        <v>107.5</v>
      </c>
    </row>
    <row r="1298" spans="1:6" x14ac:dyDescent="0.2">
      <c r="A1298" s="205">
        <v>0.4241550925925926</v>
      </c>
      <c r="B1298" s="1" t="s">
        <v>1083</v>
      </c>
      <c r="C1298" s="1">
        <v>47</v>
      </c>
      <c r="D1298" s="1" t="s">
        <v>31</v>
      </c>
      <c r="E1298" s="1">
        <v>-82.5</v>
      </c>
    </row>
    <row r="1299" spans="1:6" x14ac:dyDescent="0.2">
      <c r="A1299" s="205">
        <v>0.42474537037037036</v>
      </c>
      <c r="B1299" s="1" t="s">
        <v>1085</v>
      </c>
      <c r="C1299" s="1">
        <v>52</v>
      </c>
      <c r="D1299" s="1" t="s">
        <v>31</v>
      </c>
      <c r="E1299" s="1">
        <v>85</v>
      </c>
    </row>
    <row r="1300" spans="1:6" x14ac:dyDescent="0.2">
      <c r="A1300" s="205">
        <v>0.42562499999999998</v>
      </c>
      <c r="B1300" s="1" t="s">
        <v>1084</v>
      </c>
      <c r="C1300" s="1">
        <v>52</v>
      </c>
      <c r="D1300" s="1" t="s">
        <v>31</v>
      </c>
      <c r="E1300" s="1">
        <v>90</v>
      </c>
    </row>
    <row r="1301" spans="1:6" x14ac:dyDescent="0.2">
      <c r="A1301" s="205">
        <v>0.42634259259259261</v>
      </c>
      <c r="B1301" s="1" t="s">
        <v>1086</v>
      </c>
      <c r="C1301" s="1">
        <v>52</v>
      </c>
      <c r="D1301" s="1" t="s">
        <v>31</v>
      </c>
      <c r="E1301" s="1">
        <v>-100</v>
      </c>
      <c r="F1301" s="1">
        <v>257.5</v>
      </c>
    </row>
    <row r="1302" spans="1:6" x14ac:dyDescent="0.2">
      <c r="A1302" s="205">
        <v>0.42689814814814814</v>
      </c>
      <c r="B1302" s="1" t="s">
        <v>1090</v>
      </c>
      <c r="C1302" s="1">
        <v>72</v>
      </c>
      <c r="D1302" s="1" t="s">
        <v>31</v>
      </c>
      <c r="E1302" s="1">
        <v>100</v>
      </c>
    </row>
    <row r="1303" spans="1:6" x14ac:dyDescent="0.2">
      <c r="A1303" s="205">
        <v>0.42734953703703704</v>
      </c>
      <c r="B1303" s="1" t="s">
        <v>1102</v>
      </c>
      <c r="C1303" s="1">
        <v>84</v>
      </c>
      <c r="D1303" s="1" t="s">
        <v>31</v>
      </c>
      <c r="E1303" s="1">
        <v>100</v>
      </c>
    </row>
    <row r="1304" spans="1:6" x14ac:dyDescent="0.2">
      <c r="A1304" s="205">
        <v>0.42810185185185184</v>
      </c>
      <c r="B1304" s="1" t="s">
        <v>1087</v>
      </c>
      <c r="C1304" s="1">
        <v>57</v>
      </c>
      <c r="D1304" s="1" t="s">
        <v>31</v>
      </c>
      <c r="E1304" s="1">
        <v>110</v>
      </c>
    </row>
    <row r="1305" spans="1:6" x14ac:dyDescent="0.2">
      <c r="A1305" s="205">
        <v>0.4286342592592593</v>
      </c>
      <c r="B1305" s="1" t="s">
        <v>1088</v>
      </c>
      <c r="C1305" s="1">
        <v>63</v>
      </c>
      <c r="D1305" s="1" t="s">
        <v>31</v>
      </c>
      <c r="E1305" s="1">
        <v>-110</v>
      </c>
      <c r="F1305" s="1">
        <v>287.5</v>
      </c>
    </row>
    <row r="1306" spans="1:6" x14ac:dyDescent="0.2">
      <c r="A1306" s="205">
        <v>0.42931712962962965</v>
      </c>
      <c r="B1306" s="1" t="s">
        <v>1089</v>
      </c>
      <c r="C1306" s="1">
        <v>63</v>
      </c>
      <c r="D1306" s="1" t="s">
        <v>31</v>
      </c>
      <c r="E1306" s="1">
        <v>110</v>
      </c>
    </row>
    <row r="1307" spans="1:6" x14ac:dyDescent="0.2">
      <c r="A1307" s="205">
        <v>0.43011574074074077</v>
      </c>
      <c r="B1307" s="1" t="s">
        <v>1083</v>
      </c>
      <c r="C1307" s="1">
        <v>47</v>
      </c>
      <c r="D1307" s="1" t="s">
        <v>35</v>
      </c>
      <c r="E1307" s="1">
        <v>-82.5</v>
      </c>
    </row>
    <row r="1308" spans="1:6" x14ac:dyDescent="0.2">
      <c r="A1308" s="205">
        <v>0.43078703703703702</v>
      </c>
      <c r="B1308" s="1" t="s">
        <v>1085</v>
      </c>
      <c r="C1308" s="1">
        <v>52</v>
      </c>
      <c r="D1308" s="1" t="s">
        <v>35</v>
      </c>
      <c r="E1308" s="1">
        <v>87.5</v>
      </c>
    </row>
    <row r="1309" spans="1:6" x14ac:dyDescent="0.2">
      <c r="A1309" s="205">
        <v>0.43158564814814815</v>
      </c>
      <c r="B1309" s="1" t="s">
        <v>1084</v>
      </c>
      <c r="C1309" s="1">
        <v>52</v>
      </c>
      <c r="D1309" s="1" t="s">
        <v>35</v>
      </c>
      <c r="E1309" s="1">
        <v>97.5</v>
      </c>
    </row>
    <row r="1310" spans="1:6" x14ac:dyDescent="0.2">
      <c r="A1310" s="205">
        <v>0.43222222222222223</v>
      </c>
      <c r="B1310" s="1" t="s">
        <v>1086</v>
      </c>
      <c r="C1310" s="1">
        <v>52</v>
      </c>
      <c r="D1310" s="1" t="s">
        <v>35</v>
      </c>
      <c r="E1310" s="1">
        <v>-100</v>
      </c>
      <c r="F1310" s="1">
        <v>257.5</v>
      </c>
    </row>
    <row r="1311" spans="1:6" x14ac:dyDescent="0.2">
      <c r="A1311" s="205">
        <v>0.43292824074074071</v>
      </c>
      <c r="B1311" s="1" t="s">
        <v>1090</v>
      </c>
      <c r="C1311" s="1">
        <v>72</v>
      </c>
      <c r="D1311" s="1" t="s">
        <v>35</v>
      </c>
      <c r="E1311" s="1">
        <v>105</v>
      </c>
    </row>
    <row r="1312" spans="1:6" x14ac:dyDescent="0.2">
      <c r="A1312" s="205">
        <v>0.43349537037037034</v>
      </c>
      <c r="B1312" s="1" t="s">
        <v>1088</v>
      </c>
      <c r="C1312" s="1">
        <v>63</v>
      </c>
      <c r="D1312" s="1" t="s">
        <v>35</v>
      </c>
      <c r="E1312" s="1">
        <v>110</v>
      </c>
    </row>
    <row r="1313" spans="1:5" x14ac:dyDescent="0.2">
      <c r="A1313" s="205">
        <v>0.43407407407407406</v>
      </c>
      <c r="B1313" s="1" t="s">
        <v>1102</v>
      </c>
      <c r="C1313" s="1">
        <v>84</v>
      </c>
      <c r="D1313" s="1" t="s">
        <v>35</v>
      </c>
      <c r="E1313" s="1">
        <v>110</v>
      </c>
    </row>
    <row r="1314" spans="1:5" x14ac:dyDescent="0.2">
      <c r="A1314" s="205">
        <v>0.43476851851851855</v>
      </c>
      <c r="B1314" s="1" t="s">
        <v>1087</v>
      </c>
      <c r="C1314" s="1">
        <v>57</v>
      </c>
      <c r="D1314" s="1" t="s">
        <v>35</v>
      </c>
      <c r="E1314" s="1">
        <v>115</v>
      </c>
    </row>
    <row r="1315" spans="1:5" x14ac:dyDescent="0.2">
      <c r="A1315" s="205">
        <v>0.43555555555555553</v>
      </c>
      <c r="B1315" s="1" t="s">
        <v>1089</v>
      </c>
      <c r="C1315" s="1">
        <v>63</v>
      </c>
      <c r="D1315" s="1" t="s">
        <v>35</v>
      </c>
      <c r="E1315" s="1">
        <v>117.5</v>
      </c>
    </row>
    <row r="1316" spans="1:5" x14ac:dyDescent="0.2">
      <c r="A1316" s="205">
        <v>0.43740740740740741</v>
      </c>
      <c r="B1316" s="1" t="s">
        <v>1091</v>
      </c>
      <c r="C1316" s="1">
        <v>59</v>
      </c>
      <c r="D1316" s="1" t="s">
        <v>27</v>
      </c>
      <c r="E1316" s="1">
        <v>90</v>
      </c>
    </row>
    <row r="1317" spans="1:5" x14ac:dyDescent="0.2">
      <c r="A1317" s="205">
        <v>0.43796296296296294</v>
      </c>
      <c r="B1317" s="1" t="s">
        <v>1098</v>
      </c>
      <c r="C1317" s="1">
        <v>66</v>
      </c>
      <c r="D1317" s="1" t="s">
        <v>27</v>
      </c>
      <c r="E1317" s="1">
        <v>95</v>
      </c>
    </row>
    <row r="1318" spans="1:5" x14ac:dyDescent="0.2">
      <c r="A1318" s="205">
        <v>0.4387152777777778</v>
      </c>
      <c r="B1318" s="1" t="s">
        <v>1092</v>
      </c>
      <c r="C1318" s="1">
        <v>59</v>
      </c>
      <c r="D1318" s="1" t="s">
        <v>27</v>
      </c>
      <c r="E1318" s="1">
        <v>125</v>
      </c>
    </row>
    <row r="1319" spans="1:5" x14ac:dyDescent="0.2">
      <c r="A1319" s="205">
        <v>0.4392361111111111</v>
      </c>
      <c r="B1319" s="1" t="s">
        <v>1099</v>
      </c>
      <c r="C1319" s="1">
        <v>66</v>
      </c>
      <c r="D1319" s="1" t="s">
        <v>27</v>
      </c>
      <c r="E1319" s="1">
        <v>130</v>
      </c>
    </row>
    <row r="1320" spans="1:5" x14ac:dyDescent="0.2">
      <c r="A1320" s="205">
        <v>0.43990740740740741</v>
      </c>
      <c r="B1320" s="1" t="s">
        <v>1101</v>
      </c>
      <c r="C1320" s="1">
        <v>66</v>
      </c>
      <c r="D1320" s="1" t="s">
        <v>27</v>
      </c>
      <c r="E1320" s="1">
        <v>135</v>
      </c>
    </row>
    <row r="1321" spans="1:5" x14ac:dyDescent="0.2">
      <c r="A1321" s="205">
        <v>0.44052083333333331</v>
      </c>
      <c r="B1321" s="1" t="s">
        <v>1097</v>
      </c>
      <c r="C1321" s="1">
        <v>66</v>
      </c>
      <c r="D1321" s="1" t="s">
        <v>27</v>
      </c>
      <c r="E1321" s="1">
        <v>140</v>
      </c>
    </row>
    <row r="1322" spans="1:5" x14ac:dyDescent="0.2">
      <c r="A1322" s="205">
        <v>0.44094907407407408</v>
      </c>
      <c r="B1322" s="1" t="s">
        <v>1100</v>
      </c>
      <c r="C1322" s="1">
        <v>66</v>
      </c>
      <c r="D1322" s="1" t="s">
        <v>27</v>
      </c>
      <c r="E1322" s="1">
        <v>140</v>
      </c>
    </row>
    <row r="1323" spans="1:5" x14ac:dyDescent="0.2">
      <c r="A1323" s="205">
        <v>0.44167824074074075</v>
      </c>
      <c r="B1323" s="1" t="s">
        <v>1094</v>
      </c>
      <c r="C1323" s="1">
        <v>66</v>
      </c>
      <c r="D1323" s="1" t="s">
        <v>27</v>
      </c>
      <c r="E1323" s="1">
        <v>145</v>
      </c>
    </row>
    <row r="1324" spans="1:5" x14ac:dyDescent="0.2">
      <c r="A1324" s="205">
        <v>0.44239583333333332</v>
      </c>
      <c r="B1324" s="1" t="s">
        <v>1095</v>
      </c>
      <c r="C1324" s="1">
        <v>66</v>
      </c>
      <c r="D1324" s="1" t="s">
        <v>27</v>
      </c>
      <c r="E1324" s="1">
        <v>150</v>
      </c>
    </row>
    <row r="1325" spans="1:5" x14ac:dyDescent="0.2">
      <c r="A1325" s="205">
        <v>0.4430439814814815</v>
      </c>
      <c r="B1325" s="1" t="s">
        <v>1096</v>
      </c>
      <c r="C1325" s="1">
        <v>66</v>
      </c>
      <c r="D1325" s="1" t="s">
        <v>27</v>
      </c>
      <c r="E1325" s="1">
        <v>150</v>
      </c>
    </row>
    <row r="1326" spans="1:5" x14ac:dyDescent="0.2">
      <c r="A1326" s="205">
        <v>0.4437962962962963</v>
      </c>
      <c r="B1326" s="1" t="s">
        <v>1093</v>
      </c>
      <c r="C1326" s="1">
        <v>59</v>
      </c>
      <c r="D1326" s="1" t="s">
        <v>27</v>
      </c>
      <c r="E1326" s="1">
        <v>172.5</v>
      </c>
    </row>
    <row r="1327" spans="1:5" x14ac:dyDescent="0.2">
      <c r="A1327" s="205">
        <v>0.4446180555555555</v>
      </c>
      <c r="B1327" s="1" t="s">
        <v>1091</v>
      </c>
      <c r="C1327" s="1">
        <v>59</v>
      </c>
      <c r="D1327" s="1" t="s">
        <v>31</v>
      </c>
      <c r="E1327" s="1">
        <v>95</v>
      </c>
    </row>
    <row r="1328" spans="1:5" x14ac:dyDescent="0.2">
      <c r="A1328" s="205">
        <v>0.44533564814814813</v>
      </c>
      <c r="B1328" s="1" t="s">
        <v>1098</v>
      </c>
      <c r="C1328" s="1">
        <v>66</v>
      </c>
      <c r="D1328" s="1" t="s">
        <v>31</v>
      </c>
      <c r="E1328" s="1">
        <v>105</v>
      </c>
    </row>
    <row r="1329" spans="1:6" x14ac:dyDescent="0.2">
      <c r="A1329" s="205">
        <v>0.44619212962962962</v>
      </c>
      <c r="B1329" s="1" t="s">
        <v>1092</v>
      </c>
      <c r="C1329" s="1">
        <v>59</v>
      </c>
      <c r="D1329" s="1" t="s">
        <v>31</v>
      </c>
      <c r="E1329" s="1">
        <v>132.5</v>
      </c>
    </row>
    <row r="1330" spans="1:6" x14ac:dyDescent="0.2">
      <c r="A1330" s="205">
        <v>0.44678240740740738</v>
      </c>
      <c r="B1330" s="1" t="s">
        <v>1099</v>
      </c>
      <c r="C1330" s="1">
        <v>66</v>
      </c>
      <c r="D1330" s="1" t="s">
        <v>31</v>
      </c>
      <c r="E1330" s="1">
        <v>140</v>
      </c>
    </row>
    <row r="1331" spans="1:6" x14ac:dyDescent="0.2">
      <c r="A1331" s="205">
        <v>0.44752314814814814</v>
      </c>
      <c r="B1331" s="1" t="s">
        <v>1101</v>
      </c>
      <c r="C1331" s="1">
        <v>66</v>
      </c>
      <c r="D1331" s="1" t="s">
        <v>31</v>
      </c>
      <c r="E1331" s="1">
        <v>142.5</v>
      </c>
    </row>
    <row r="1332" spans="1:6" x14ac:dyDescent="0.2">
      <c r="A1332" s="205">
        <v>0.44822916666666668</v>
      </c>
      <c r="B1332" s="1" t="s">
        <v>1100</v>
      </c>
      <c r="C1332" s="1">
        <v>66</v>
      </c>
      <c r="D1332" s="1" t="s">
        <v>31</v>
      </c>
      <c r="E1332" s="1">
        <v>145</v>
      </c>
    </row>
    <row r="1333" spans="1:6" x14ac:dyDescent="0.2">
      <c r="A1333" s="205">
        <v>0.44886574074074076</v>
      </c>
      <c r="B1333" s="1" t="s">
        <v>1097</v>
      </c>
      <c r="C1333" s="1">
        <v>66</v>
      </c>
      <c r="D1333" s="1" t="s">
        <v>31</v>
      </c>
      <c r="E1333" s="1">
        <v>150</v>
      </c>
    </row>
    <row r="1334" spans="1:6" x14ac:dyDescent="0.2">
      <c r="A1334" s="205">
        <v>0.44971064814814815</v>
      </c>
      <c r="B1334" s="1" t="s">
        <v>1094</v>
      </c>
      <c r="C1334" s="1">
        <v>66</v>
      </c>
      <c r="D1334" s="1" t="s">
        <v>31</v>
      </c>
      <c r="E1334" s="1">
        <v>-155</v>
      </c>
      <c r="F1334" s="1">
        <v>400</v>
      </c>
    </row>
    <row r="1335" spans="1:6" x14ac:dyDescent="0.2">
      <c r="A1335" s="205">
        <v>0.45049768518518518</v>
      </c>
      <c r="B1335" s="1" t="s">
        <v>1095</v>
      </c>
      <c r="C1335" s="1">
        <v>66</v>
      </c>
      <c r="D1335" s="1" t="s">
        <v>31</v>
      </c>
      <c r="E1335" s="1">
        <v>160</v>
      </c>
    </row>
    <row r="1336" spans="1:6" x14ac:dyDescent="0.2">
      <c r="A1336" s="205">
        <v>0.45112268518518522</v>
      </c>
      <c r="B1336" s="1" t="s">
        <v>1096</v>
      </c>
      <c r="C1336" s="1">
        <v>66</v>
      </c>
      <c r="D1336" s="1" t="s">
        <v>31</v>
      </c>
      <c r="E1336" s="1">
        <v>160</v>
      </c>
    </row>
    <row r="1337" spans="1:6" x14ac:dyDescent="0.2">
      <c r="A1337" s="205">
        <v>0.45175925925925925</v>
      </c>
      <c r="B1337" s="1" t="s">
        <v>1093</v>
      </c>
      <c r="C1337" s="1">
        <v>59</v>
      </c>
      <c r="D1337" s="1" t="s">
        <v>31</v>
      </c>
      <c r="E1337" s="1">
        <v>182.5</v>
      </c>
    </row>
    <row r="1338" spans="1:6" x14ac:dyDescent="0.2">
      <c r="A1338" s="205">
        <v>0.45258101851851856</v>
      </c>
      <c r="B1338" s="1" t="s">
        <v>1091</v>
      </c>
      <c r="C1338" s="1">
        <v>59</v>
      </c>
      <c r="D1338" s="1" t="s">
        <v>35</v>
      </c>
      <c r="E1338" s="1">
        <v>100</v>
      </c>
    </row>
    <row r="1339" spans="1:6" x14ac:dyDescent="0.2">
      <c r="A1339" s="205">
        <v>0.45317129629629632</v>
      </c>
      <c r="B1339" s="1" t="s">
        <v>1098</v>
      </c>
      <c r="C1339" s="1">
        <v>66</v>
      </c>
      <c r="D1339" s="1" t="s">
        <v>35</v>
      </c>
      <c r="E1339" s="1">
        <v>115</v>
      </c>
    </row>
    <row r="1340" spans="1:6" x14ac:dyDescent="0.2">
      <c r="A1340" s="205">
        <v>0.45391203703703703</v>
      </c>
      <c r="B1340" s="1" t="s">
        <v>1092</v>
      </c>
      <c r="C1340" s="1">
        <v>59</v>
      </c>
      <c r="D1340" s="1" t="s">
        <v>35</v>
      </c>
      <c r="E1340" s="1">
        <v>-135</v>
      </c>
      <c r="F1340" s="1">
        <v>362.5</v>
      </c>
    </row>
    <row r="1341" spans="1:6" x14ac:dyDescent="0.2">
      <c r="A1341" s="205">
        <v>0.45459490740740738</v>
      </c>
      <c r="B1341" s="1" t="s">
        <v>1101</v>
      </c>
      <c r="C1341" s="1">
        <v>66</v>
      </c>
      <c r="D1341" s="1" t="s">
        <v>35</v>
      </c>
      <c r="E1341" s="1">
        <v>-147.5</v>
      </c>
      <c r="F1341" s="1">
        <v>412.5</v>
      </c>
    </row>
    <row r="1342" spans="1:6" x14ac:dyDescent="0.2">
      <c r="A1342" s="205">
        <v>0.45515046296296297</v>
      </c>
      <c r="B1342" s="1" t="s">
        <v>1100</v>
      </c>
      <c r="C1342" s="1">
        <v>66</v>
      </c>
      <c r="D1342" s="1" t="s">
        <v>35</v>
      </c>
      <c r="E1342" s="1">
        <v>150</v>
      </c>
    </row>
    <row r="1343" spans="1:6" x14ac:dyDescent="0.2">
      <c r="A1343" s="205">
        <v>0.45615740740740746</v>
      </c>
      <c r="B1343" s="1" t="s">
        <v>1094</v>
      </c>
      <c r="C1343" s="1">
        <v>66</v>
      </c>
      <c r="D1343" s="1" t="s">
        <v>35</v>
      </c>
      <c r="E1343" s="1">
        <v>155</v>
      </c>
    </row>
    <row r="1344" spans="1:6" x14ac:dyDescent="0.2">
      <c r="A1344" s="205">
        <v>0.45679398148148148</v>
      </c>
      <c r="B1344" s="1" t="s">
        <v>1097</v>
      </c>
      <c r="C1344" s="1">
        <v>66</v>
      </c>
      <c r="D1344" s="1" t="s">
        <v>35</v>
      </c>
      <c r="E1344" s="1">
        <v>155</v>
      </c>
    </row>
    <row r="1345" spans="1:5" x14ac:dyDescent="0.2">
      <c r="A1345" s="205">
        <v>0.45756944444444447</v>
      </c>
      <c r="B1345" s="1" t="s">
        <v>1096</v>
      </c>
      <c r="C1345" s="1">
        <v>66</v>
      </c>
      <c r="D1345" s="1" t="s">
        <v>35</v>
      </c>
      <c r="E1345" s="1">
        <v>165</v>
      </c>
    </row>
    <row r="1346" spans="1:5" x14ac:dyDescent="0.2">
      <c r="A1346" s="205">
        <v>0.45822916666666669</v>
      </c>
      <c r="B1346" s="1" t="s">
        <v>1095</v>
      </c>
      <c r="C1346" s="1">
        <v>66</v>
      </c>
      <c r="D1346" s="1" t="s">
        <v>35</v>
      </c>
      <c r="E1346" s="1">
        <v>170</v>
      </c>
    </row>
    <row r="1347" spans="1:5" x14ac:dyDescent="0.2">
      <c r="A1347" s="205">
        <v>0.45892361111111107</v>
      </c>
      <c r="B1347" s="1" t="s">
        <v>1093</v>
      </c>
      <c r="C1347" s="1">
        <v>59</v>
      </c>
      <c r="D1347" s="1" t="s">
        <v>35</v>
      </c>
      <c r="E1347" s="1">
        <v>185</v>
      </c>
    </row>
    <row r="1348" spans="1:5" x14ac:dyDescent="0.2">
      <c r="A1348" s="205">
        <v>0.46332175925925928</v>
      </c>
      <c r="B1348" s="1" t="s">
        <v>1102</v>
      </c>
      <c r="C1348" s="1">
        <v>84</v>
      </c>
      <c r="D1348" s="1" t="s">
        <v>29</v>
      </c>
      <c r="E1348" s="1">
        <v>30</v>
      </c>
    </row>
    <row r="1349" spans="1:5" x14ac:dyDescent="0.2">
      <c r="A1349" s="205">
        <v>0.46422453703703703</v>
      </c>
      <c r="B1349" s="1" t="s">
        <v>1083</v>
      </c>
      <c r="C1349" s="1">
        <v>47</v>
      </c>
      <c r="D1349" s="1" t="s">
        <v>29</v>
      </c>
      <c r="E1349" s="1">
        <v>35</v>
      </c>
    </row>
    <row r="1350" spans="1:5" x14ac:dyDescent="0.2">
      <c r="A1350" s="205">
        <v>0.46512731481481479</v>
      </c>
      <c r="B1350" s="1" t="s">
        <v>1084</v>
      </c>
      <c r="C1350" s="1">
        <v>52</v>
      </c>
      <c r="D1350" s="1" t="s">
        <v>29</v>
      </c>
      <c r="E1350" s="1">
        <v>40</v>
      </c>
    </row>
    <row r="1351" spans="1:5" x14ac:dyDescent="0.2">
      <c r="A1351" s="205">
        <v>0.465787037037037</v>
      </c>
      <c r="B1351" s="1" t="s">
        <v>1085</v>
      </c>
      <c r="C1351" s="1">
        <v>52</v>
      </c>
      <c r="D1351" s="1" t="s">
        <v>29</v>
      </c>
      <c r="E1351" s="1">
        <v>40</v>
      </c>
    </row>
    <row r="1352" spans="1:5" x14ac:dyDescent="0.2">
      <c r="A1352" s="205">
        <v>0.46675925925925926</v>
      </c>
      <c r="B1352" s="1" t="s">
        <v>1090</v>
      </c>
      <c r="C1352" s="1">
        <v>72</v>
      </c>
      <c r="D1352" s="1" t="s">
        <v>29</v>
      </c>
      <c r="E1352" s="1">
        <v>45</v>
      </c>
    </row>
    <row r="1353" spans="1:5" x14ac:dyDescent="0.2">
      <c r="A1353" s="205">
        <v>0.46762731481481484</v>
      </c>
      <c r="B1353" s="1" t="s">
        <v>1086</v>
      </c>
      <c r="C1353" s="1">
        <v>52</v>
      </c>
      <c r="D1353" s="1" t="s">
        <v>29</v>
      </c>
      <c r="E1353" s="1">
        <v>52.5</v>
      </c>
    </row>
    <row r="1354" spans="1:5" x14ac:dyDescent="0.2">
      <c r="A1354" s="205">
        <v>0.46809027777777779</v>
      </c>
      <c r="B1354" s="1" t="s">
        <v>1088</v>
      </c>
      <c r="C1354" s="1">
        <v>63</v>
      </c>
      <c r="D1354" s="1" t="s">
        <v>29</v>
      </c>
      <c r="E1354" s="1">
        <v>55</v>
      </c>
    </row>
    <row r="1355" spans="1:5" x14ac:dyDescent="0.2">
      <c r="A1355" s="205">
        <v>0.46870370370370368</v>
      </c>
      <c r="B1355" s="1" t="s">
        <v>1087</v>
      </c>
      <c r="C1355" s="1">
        <v>57</v>
      </c>
      <c r="D1355" s="1" t="s">
        <v>29</v>
      </c>
      <c r="E1355" s="1">
        <v>67.5</v>
      </c>
    </row>
    <row r="1356" spans="1:5" x14ac:dyDescent="0.2">
      <c r="A1356" s="205">
        <v>0.46987268518518516</v>
      </c>
      <c r="B1356" s="1" t="s">
        <v>1089</v>
      </c>
      <c r="C1356" s="1">
        <v>63</v>
      </c>
      <c r="D1356" s="1" t="s">
        <v>29</v>
      </c>
      <c r="E1356" s="1">
        <v>80</v>
      </c>
    </row>
    <row r="1357" spans="1:5" x14ac:dyDescent="0.2">
      <c r="A1357" s="205">
        <v>0.47098379629629633</v>
      </c>
      <c r="B1357" s="1" t="s">
        <v>1083</v>
      </c>
      <c r="C1357" s="1">
        <v>47</v>
      </c>
      <c r="D1357" s="1" t="s">
        <v>33</v>
      </c>
      <c r="E1357" s="1">
        <v>37.5</v>
      </c>
    </row>
    <row r="1358" spans="1:5" x14ac:dyDescent="0.2">
      <c r="A1358" s="205">
        <v>0.47148148148148145</v>
      </c>
      <c r="B1358" s="1" t="s">
        <v>1102</v>
      </c>
      <c r="C1358" s="1">
        <v>84</v>
      </c>
      <c r="D1358" s="1" t="s">
        <v>33</v>
      </c>
      <c r="E1358" s="1">
        <v>40</v>
      </c>
    </row>
    <row r="1359" spans="1:5" x14ac:dyDescent="0.2">
      <c r="A1359" s="205">
        <v>0.47203703703703703</v>
      </c>
      <c r="B1359" s="1" t="s">
        <v>1085</v>
      </c>
      <c r="C1359" s="1">
        <v>52</v>
      </c>
      <c r="D1359" s="1" t="s">
        <v>33</v>
      </c>
      <c r="E1359" s="1">
        <v>45</v>
      </c>
    </row>
    <row r="1360" spans="1:5" x14ac:dyDescent="0.2">
      <c r="A1360" s="205">
        <v>0.47288194444444448</v>
      </c>
      <c r="B1360" s="1" t="s">
        <v>1084</v>
      </c>
      <c r="C1360" s="1">
        <v>52</v>
      </c>
      <c r="D1360" s="1" t="s">
        <v>33</v>
      </c>
      <c r="E1360" s="1">
        <v>47.5</v>
      </c>
    </row>
    <row r="1361" spans="1:6" x14ac:dyDescent="0.2">
      <c r="A1361" s="205">
        <v>0.47350694444444441</v>
      </c>
      <c r="B1361" s="1" t="s">
        <v>1090</v>
      </c>
      <c r="C1361" s="1">
        <v>72</v>
      </c>
      <c r="D1361" s="1" t="s">
        <v>33</v>
      </c>
      <c r="E1361" s="1">
        <v>50</v>
      </c>
    </row>
    <row r="1362" spans="1:6" x14ac:dyDescent="0.2">
      <c r="A1362" s="205">
        <v>0.47416666666666668</v>
      </c>
      <c r="B1362" s="1" t="s">
        <v>1086</v>
      </c>
      <c r="C1362" s="1">
        <v>52</v>
      </c>
      <c r="D1362" s="1" t="s">
        <v>33</v>
      </c>
      <c r="E1362" s="1">
        <v>55</v>
      </c>
    </row>
    <row r="1363" spans="1:6" x14ac:dyDescent="0.2">
      <c r="A1363" s="205">
        <v>0.47466435185185185</v>
      </c>
      <c r="B1363" s="1" t="s">
        <v>1088</v>
      </c>
      <c r="C1363" s="1">
        <v>63</v>
      </c>
      <c r="D1363" s="1" t="s">
        <v>33</v>
      </c>
      <c r="E1363" s="1">
        <v>-57.5</v>
      </c>
      <c r="F1363" s="1">
        <v>290</v>
      </c>
    </row>
    <row r="1364" spans="1:6" x14ac:dyDescent="0.2">
      <c r="A1364" s="205">
        <v>0.47538194444444448</v>
      </c>
      <c r="B1364" s="1" t="s">
        <v>1087</v>
      </c>
      <c r="C1364" s="1">
        <v>57</v>
      </c>
      <c r="D1364" s="1" t="s">
        <v>33</v>
      </c>
      <c r="E1364" s="1">
        <v>72.5</v>
      </c>
    </row>
    <row r="1365" spans="1:6" x14ac:dyDescent="0.2">
      <c r="A1365" s="205">
        <v>0.47620370370370368</v>
      </c>
      <c r="B1365" s="1" t="s">
        <v>1089</v>
      </c>
      <c r="C1365" s="1">
        <v>63</v>
      </c>
      <c r="D1365" s="1" t="s">
        <v>33</v>
      </c>
      <c r="E1365" s="1">
        <v>85</v>
      </c>
    </row>
    <row r="1366" spans="1:6" x14ac:dyDescent="0.2">
      <c r="A1366" s="205">
        <v>0.47689814814814818</v>
      </c>
      <c r="B1366" s="1" t="s">
        <v>1083</v>
      </c>
      <c r="C1366" s="1">
        <v>47</v>
      </c>
      <c r="D1366" s="1" t="s">
        <v>37</v>
      </c>
      <c r="E1366" s="1">
        <v>-40</v>
      </c>
    </row>
    <row r="1367" spans="1:6" x14ac:dyDescent="0.2">
      <c r="A1367" s="205">
        <v>0.47752314814814811</v>
      </c>
      <c r="B1367" s="1" t="s">
        <v>1102</v>
      </c>
      <c r="C1367" s="1">
        <v>84</v>
      </c>
      <c r="D1367" s="1" t="s">
        <v>37</v>
      </c>
      <c r="E1367" s="1">
        <v>45</v>
      </c>
    </row>
    <row r="1368" spans="1:6" x14ac:dyDescent="0.2">
      <c r="A1368" s="205">
        <v>0.47799768518518521</v>
      </c>
      <c r="B1368" s="1" t="s">
        <v>1085</v>
      </c>
      <c r="C1368" s="1">
        <v>52</v>
      </c>
      <c r="D1368" s="1" t="s">
        <v>37</v>
      </c>
      <c r="E1368" s="1">
        <v>47.5</v>
      </c>
    </row>
    <row r="1369" spans="1:6" x14ac:dyDescent="0.2">
      <c r="A1369" s="205">
        <v>0.47880787037037037</v>
      </c>
      <c r="B1369" s="1" t="s">
        <v>1084</v>
      </c>
      <c r="C1369" s="1">
        <v>52</v>
      </c>
      <c r="D1369" s="1" t="s">
        <v>37</v>
      </c>
      <c r="E1369" s="1">
        <v>-52.5</v>
      </c>
      <c r="F1369" s="1">
        <v>230</v>
      </c>
    </row>
    <row r="1370" spans="1:6" x14ac:dyDescent="0.2">
      <c r="A1370" s="205">
        <v>0.47940972222222222</v>
      </c>
      <c r="B1370" s="1" t="s">
        <v>1090</v>
      </c>
      <c r="C1370" s="1">
        <v>72</v>
      </c>
      <c r="D1370" s="1" t="s">
        <v>37</v>
      </c>
      <c r="E1370" s="1">
        <v>52.5</v>
      </c>
    </row>
    <row r="1371" spans="1:6" x14ac:dyDescent="0.2">
      <c r="A1371" s="205">
        <v>0.48015046296296293</v>
      </c>
      <c r="B1371" s="1" t="s">
        <v>1086</v>
      </c>
      <c r="C1371" s="1">
        <v>52</v>
      </c>
      <c r="D1371" s="1" t="s">
        <v>37</v>
      </c>
      <c r="E1371" s="1">
        <v>-57.5</v>
      </c>
      <c r="F1371" s="1">
        <v>260</v>
      </c>
    </row>
    <row r="1372" spans="1:6" x14ac:dyDescent="0.2">
      <c r="A1372" s="205">
        <v>0.48063657407407406</v>
      </c>
      <c r="B1372" s="1" t="s">
        <v>1088</v>
      </c>
      <c r="C1372" s="1">
        <v>63</v>
      </c>
      <c r="D1372" s="1" t="s">
        <v>37</v>
      </c>
      <c r="E1372" s="1">
        <v>57.5</v>
      </c>
    </row>
    <row r="1373" spans="1:6" x14ac:dyDescent="0.2">
      <c r="A1373" s="205">
        <v>0.48130787037037037</v>
      </c>
      <c r="B1373" s="1" t="s">
        <v>1087</v>
      </c>
      <c r="C1373" s="1">
        <v>57</v>
      </c>
      <c r="D1373" s="1" t="s">
        <v>37</v>
      </c>
      <c r="E1373" s="1">
        <v>75</v>
      </c>
    </row>
    <row r="1374" spans="1:6" x14ac:dyDescent="0.2">
      <c r="A1374" s="205">
        <v>0.48194444444444445</v>
      </c>
      <c r="B1374" s="1" t="s">
        <v>1089</v>
      </c>
      <c r="C1374" s="1">
        <v>63</v>
      </c>
      <c r="D1374" s="1" t="s">
        <v>37</v>
      </c>
      <c r="E1374" s="1">
        <v>90</v>
      </c>
    </row>
    <row r="1375" spans="1:6" x14ac:dyDescent="0.2">
      <c r="A1375" s="205">
        <v>0.48399305555555555</v>
      </c>
      <c r="B1375" s="1" t="s">
        <v>1091</v>
      </c>
      <c r="C1375" s="1">
        <v>59</v>
      </c>
      <c r="D1375" s="1" t="s">
        <v>29</v>
      </c>
      <c r="E1375" s="1">
        <v>80</v>
      </c>
    </row>
    <row r="1376" spans="1:6" x14ac:dyDescent="0.2">
      <c r="A1376" s="205">
        <v>0.48478009259259264</v>
      </c>
      <c r="B1376" s="1" t="s">
        <v>1092</v>
      </c>
      <c r="C1376" s="1">
        <v>59</v>
      </c>
      <c r="D1376" s="1" t="s">
        <v>29</v>
      </c>
      <c r="E1376" s="1">
        <v>80</v>
      </c>
    </row>
    <row r="1377" spans="1:6" x14ac:dyDescent="0.2">
      <c r="A1377" s="205">
        <v>0.4853703703703704</v>
      </c>
      <c r="B1377" s="1" t="s">
        <v>1099</v>
      </c>
      <c r="C1377" s="1">
        <v>66</v>
      </c>
      <c r="D1377" s="1" t="s">
        <v>29</v>
      </c>
      <c r="E1377" s="1">
        <v>90</v>
      </c>
    </row>
    <row r="1378" spans="1:6" x14ac:dyDescent="0.2">
      <c r="A1378" s="205">
        <v>0.48616898148148152</v>
      </c>
      <c r="B1378" s="1" t="s">
        <v>1094</v>
      </c>
      <c r="C1378" s="1">
        <v>66</v>
      </c>
      <c r="D1378" s="1" t="s">
        <v>29</v>
      </c>
      <c r="E1378" s="1">
        <v>95</v>
      </c>
    </row>
    <row r="1379" spans="1:6" x14ac:dyDescent="0.2">
      <c r="A1379" s="205">
        <v>0.48679398148148145</v>
      </c>
      <c r="B1379" s="1" t="s">
        <v>1095</v>
      </c>
      <c r="C1379" s="1">
        <v>66</v>
      </c>
      <c r="D1379" s="1" t="s">
        <v>29</v>
      </c>
      <c r="E1379" s="1">
        <v>100</v>
      </c>
    </row>
    <row r="1380" spans="1:6" x14ac:dyDescent="0.2">
      <c r="A1380" s="205">
        <v>0.48762731481481486</v>
      </c>
      <c r="B1380" s="1" t="s">
        <v>1096</v>
      </c>
      <c r="C1380" s="1">
        <v>66</v>
      </c>
      <c r="D1380" s="1" t="s">
        <v>29</v>
      </c>
      <c r="E1380" s="1">
        <v>-102.5</v>
      </c>
    </row>
    <row r="1381" spans="1:6" x14ac:dyDescent="0.2">
      <c r="A1381" s="205">
        <v>0.48812499999999998</v>
      </c>
      <c r="B1381" s="1" t="s">
        <v>1093</v>
      </c>
      <c r="C1381" s="1">
        <v>59</v>
      </c>
      <c r="D1381" s="1" t="s">
        <v>29</v>
      </c>
      <c r="E1381" s="1">
        <v>110</v>
      </c>
    </row>
    <row r="1382" spans="1:6" x14ac:dyDescent="0.2">
      <c r="A1382" s="205">
        <v>0.4887037037037037</v>
      </c>
      <c r="B1382" s="1" t="s">
        <v>1098</v>
      </c>
      <c r="C1382" s="1">
        <v>66</v>
      </c>
      <c r="D1382" s="1" t="s">
        <v>29</v>
      </c>
      <c r="E1382" s="1">
        <v>110</v>
      </c>
    </row>
    <row r="1383" spans="1:6" x14ac:dyDescent="0.2">
      <c r="A1383" s="205">
        <v>0.48942129629629627</v>
      </c>
      <c r="B1383" s="1" t="s">
        <v>1101</v>
      </c>
      <c r="C1383" s="1">
        <v>66</v>
      </c>
      <c r="D1383" s="1" t="s">
        <v>29</v>
      </c>
      <c r="E1383" s="1">
        <v>110</v>
      </c>
    </row>
    <row r="1384" spans="1:6" x14ac:dyDescent="0.2">
      <c r="A1384" s="205">
        <v>0.48998842592592595</v>
      </c>
      <c r="B1384" s="1" t="s">
        <v>1100</v>
      </c>
      <c r="C1384" s="1">
        <v>66</v>
      </c>
      <c r="D1384" s="1" t="s">
        <v>29</v>
      </c>
      <c r="E1384" s="1">
        <v>115</v>
      </c>
    </row>
    <row r="1385" spans="1:6" x14ac:dyDescent="0.2">
      <c r="A1385" s="205">
        <v>0.49053240740740739</v>
      </c>
      <c r="B1385" s="1" t="s">
        <v>1097</v>
      </c>
      <c r="C1385" s="1">
        <v>66</v>
      </c>
      <c r="D1385" s="1" t="s">
        <v>29</v>
      </c>
      <c r="E1385" s="1">
        <v>120</v>
      </c>
    </row>
    <row r="1386" spans="1:6" x14ac:dyDescent="0.2">
      <c r="A1386" s="205">
        <v>0.49115740740740743</v>
      </c>
      <c r="B1386" s="1" t="s">
        <v>1091</v>
      </c>
      <c r="C1386" s="1">
        <v>59</v>
      </c>
      <c r="D1386" s="1" t="s">
        <v>33</v>
      </c>
      <c r="E1386" s="1">
        <v>85</v>
      </c>
    </row>
    <row r="1387" spans="1:6" x14ac:dyDescent="0.2">
      <c r="A1387" s="205">
        <v>0.49185185185185182</v>
      </c>
      <c r="B1387" s="1" t="s">
        <v>1092</v>
      </c>
      <c r="C1387" s="1">
        <v>59</v>
      </c>
      <c r="D1387" s="1" t="s">
        <v>33</v>
      </c>
      <c r="E1387" s="1">
        <v>85</v>
      </c>
    </row>
    <row r="1388" spans="1:6" x14ac:dyDescent="0.2">
      <c r="A1388" s="205">
        <v>0.49268518518518517</v>
      </c>
      <c r="B1388" s="1" t="s">
        <v>1094</v>
      </c>
      <c r="C1388" s="1">
        <v>66</v>
      </c>
      <c r="D1388" s="1" t="s">
        <v>33</v>
      </c>
      <c r="E1388" s="1">
        <v>100</v>
      </c>
    </row>
    <row r="1389" spans="1:6" x14ac:dyDescent="0.2">
      <c r="A1389" s="205">
        <v>0.49339120370370365</v>
      </c>
      <c r="B1389" s="1" t="s">
        <v>1095</v>
      </c>
      <c r="C1389" s="1">
        <v>66</v>
      </c>
      <c r="D1389" s="1" t="s">
        <v>33</v>
      </c>
      <c r="E1389" s="1">
        <v>105</v>
      </c>
    </row>
    <row r="1390" spans="1:6" x14ac:dyDescent="0.2">
      <c r="A1390" s="205">
        <v>0.49422453703703706</v>
      </c>
      <c r="B1390" s="1" t="s">
        <v>1096</v>
      </c>
      <c r="C1390" s="1">
        <v>66</v>
      </c>
      <c r="D1390" s="1" t="s">
        <v>33</v>
      </c>
      <c r="E1390" s="1">
        <v>-105</v>
      </c>
    </row>
    <row r="1391" spans="1:6" x14ac:dyDescent="0.2">
      <c r="A1391" s="205">
        <v>0.4947685185185185</v>
      </c>
      <c r="B1391" s="1" t="s">
        <v>1099</v>
      </c>
      <c r="C1391" s="1">
        <v>66</v>
      </c>
      <c r="D1391" s="1" t="s">
        <v>33</v>
      </c>
      <c r="E1391" s="1">
        <v>-110</v>
      </c>
      <c r="F1391" s="1">
        <v>410</v>
      </c>
    </row>
    <row r="1392" spans="1:6" x14ac:dyDescent="0.2">
      <c r="A1392" s="205">
        <v>0.49586805555555552</v>
      </c>
      <c r="B1392" s="1" t="s">
        <v>1098</v>
      </c>
      <c r="C1392" s="1">
        <v>66</v>
      </c>
      <c r="D1392" s="1" t="s">
        <v>33</v>
      </c>
      <c r="E1392" s="1">
        <v>113</v>
      </c>
    </row>
    <row r="1393" spans="1:6" x14ac:dyDescent="0.2">
      <c r="A1393" s="205">
        <v>0.49666666666666665</v>
      </c>
      <c r="B1393" s="1" t="s">
        <v>1101</v>
      </c>
      <c r="C1393" s="1">
        <v>66</v>
      </c>
      <c r="D1393" s="1" t="s">
        <v>33</v>
      </c>
      <c r="E1393" s="1">
        <v>115</v>
      </c>
    </row>
    <row r="1394" spans="1:6" x14ac:dyDescent="0.2">
      <c r="A1394" s="205">
        <v>0.49729166666666669</v>
      </c>
      <c r="B1394" s="1" t="s">
        <v>1093</v>
      </c>
      <c r="C1394" s="1">
        <v>59</v>
      </c>
      <c r="D1394" s="1" t="s">
        <v>33</v>
      </c>
      <c r="E1394" s="1">
        <v>120</v>
      </c>
    </row>
    <row r="1395" spans="1:6" x14ac:dyDescent="0.2">
      <c r="A1395" s="205">
        <v>0.49793981481481481</v>
      </c>
      <c r="B1395" s="1" t="s">
        <v>1100</v>
      </c>
      <c r="C1395" s="1">
        <v>66</v>
      </c>
      <c r="D1395" s="1" t="s">
        <v>33</v>
      </c>
      <c r="E1395" s="1">
        <v>120</v>
      </c>
    </row>
    <row r="1396" spans="1:6" x14ac:dyDescent="0.2">
      <c r="A1396" s="205">
        <v>0.49875000000000003</v>
      </c>
      <c r="B1396" s="1" t="s">
        <v>1097</v>
      </c>
      <c r="C1396" s="1">
        <v>66</v>
      </c>
      <c r="D1396" s="1" t="s">
        <v>33</v>
      </c>
      <c r="E1396" s="1">
        <v>125</v>
      </c>
    </row>
    <row r="1397" spans="1:6" x14ac:dyDescent="0.2">
      <c r="A1397" s="205">
        <v>0.49972222222222223</v>
      </c>
      <c r="B1397" s="1" t="s">
        <v>1092</v>
      </c>
      <c r="C1397" s="1">
        <v>59</v>
      </c>
      <c r="D1397" s="1" t="s">
        <v>37</v>
      </c>
      <c r="E1397" s="1">
        <v>87.5</v>
      </c>
    </row>
    <row r="1398" spans="1:6" x14ac:dyDescent="0.2">
      <c r="A1398" s="205">
        <v>0.50043981481481481</v>
      </c>
      <c r="B1398" s="1" t="s">
        <v>1091</v>
      </c>
      <c r="C1398" s="1">
        <v>59</v>
      </c>
      <c r="D1398" s="1" t="s">
        <v>37</v>
      </c>
      <c r="E1398" s="1">
        <v>90</v>
      </c>
    </row>
    <row r="1399" spans="1:6" x14ac:dyDescent="0.2">
      <c r="A1399" s="205">
        <v>0.50111111111111117</v>
      </c>
      <c r="B1399" s="1" t="s">
        <v>1094</v>
      </c>
      <c r="C1399" s="1">
        <v>66</v>
      </c>
      <c r="D1399" s="1" t="s">
        <v>37</v>
      </c>
      <c r="E1399" s="1">
        <v>-105</v>
      </c>
      <c r="F1399" s="1">
        <v>415</v>
      </c>
    </row>
    <row r="1400" spans="1:6" x14ac:dyDescent="0.2">
      <c r="A1400" s="205">
        <v>0.50166666666666659</v>
      </c>
      <c r="B1400" s="1" t="s">
        <v>1096</v>
      </c>
      <c r="C1400" s="1">
        <v>66</v>
      </c>
      <c r="D1400" s="1" t="s">
        <v>37</v>
      </c>
      <c r="E1400" s="1">
        <v>105</v>
      </c>
    </row>
    <row r="1401" spans="1:6" x14ac:dyDescent="0.2">
      <c r="A1401" s="205">
        <v>0.50233796296296296</v>
      </c>
      <c r="B1401" s="1" t="s">
        <v>1095</v>
      </c>
      <c r="C1401" s="1">
        <v>66</v>
      </c>
      <c r="D1401" s="1" t="s">
        <v>37</v>
      </c>
      <c r="E1401" s="1">
        <v>-110</v>
      </c>
      <c r="F1401" s="1">
        <v>445</v>
      </c>
    </row>
    <row r="1402" spans="1:6" x14ac:dyDescent="0.2">
      <c r="A1402" s="205">
        <v>0.50332175925925926</v>
      </c>
      <c r="B1402" s="1" t="s">
        <v>1098</v>
      </c>
      <c r="C1402" s="1">
        <v>66</v>
      </c>
      <c r="D1402" s="1" t="s">
        <v>37</v>
      </c>
      <c r="E1402" s="1">
        <v>-115</v>
      </c>
      <c r="F1402" s="1">
        <v>328</v>
      </c>
    </row>
    <row r="1403" spans="1:6" x14ac:dyDescent="0.2">
      <c r="A1403" s="205">
        <v>0.50420138888888888</v>
      </c>
      <c r="B1403" s="1" t="s">
        <v>1101</v>
      </c>
      <c r="C1403" s="1">
        <v>66</v>
      </c>
      <c r="D1403" s="1" t="s">
        <v>37</v>
      </c>
      <c r="E1403" s="1">
        <v>-117.5</v>
      </c>
      <c r="F1403" s="1">
        <v>417.5</v>
      </c>
    </row>
    <row r="1404" spans="1:6" x14ac:dyDescent="0.2">
      <c r="A1404" s="205">
        <v>0.50482638888888887</v>
      </c>
      <c r="B1404" s="1" t="s">
        <v>1093</v>
      </c>
      <c r="C1404" s="1">
        <v>59</v>
      </c>
      <c r="D1404" s="1" t="s">
        <v>37</v>
      </c>
      <c r="E1404" s="1">
        <v>-125</v>
      </c>
      <c r="F1404" s="1">
        <v>490</v>
      </c>
    </row>
    <row r="1405" spans="1:6" x14ac:dyDescent="0.2">
      <c r="A1405" s="205">
        <v>0.50535879629629632</v>
      </c>
      <c r="B1405" s="1" t="s">
        <v>1100</v>
      </c>
      <c r="C1405" s="1">
        <v>66</v>
      </c>
      <c r="D1405" s="1" t="s">
        <v>37</v>
      </c>
      <c r="E1405" s="1">
        <v>125</v>
      </c>
    </row>
    <row r="1406" spans="1:6" x14ac:dyDescent="0.2">
      <c r="A1406" s="205">
        <v>0.5064467592592593</v>
      </c>
      <c r="B1406" s="1" t="s">
        <v>1097</v>
      </c>
      <c r="C1406" s="1">
        <v>66</v>
      </c>
      <c r="D1406" s="1" t="s">
        <v>37</v>
      </c>
      <c r="E1406" s="1">
        <v>-131</v>
      </c>
      <c r="F1406" s="1">
        <v>465</v>
      </c>
    </row>
    <row r="1407" spans="1:6" x14ac:dyDescent="0.2">
      <c r="A1407" s="205">
        <v>0.51065972222222222</v>
      </c>
      <c r="B1407" s="1" t="s">
        <v>1084</v>
      </c>
      <c r="C1407" s="1">
        <v>52</v>
      </c>
      <c r="D1407" s="1" t="s">
        <v>30</v>
      </c>
      <c r="E1407" s="1">
        <v>85</v>
      </c>
      <c r="F1407" s="1">
        <v>230</v>
      </c>
    </row>
    <row r="1408" spans="1:6" x14ac:dyDescent="0.2">
      <c r="A1408" s="205">
        <v>0.51143518518518516</v>
      </c>
      <c r="B1408" s="1" t="s">
        <v>1083</v>
      </c>
      <c r="C1408" s="1">
        <v>47</v>
      </c>
      <c r="D1408" s="1" t="s">
        <v>30</v>
      </c>
      <c r="E1408" s="1">
        <v>90</v>
      </c>
    </row>
    <row r="1409" spans="1:6" x14ac:dyDescent="0.2">
      <c r="A1409" s="205">
        <v>0.51184027777777785</v>
      </c>
      <c r="B1409" s="1" t="s">
        <v>1090</v>
      </c>
      <c r="C1409" s="1">
        <v>72</v>
      </c>
      <c r="D1409" s="1" t="s">
        <v>30</v>
      </c>
      <c r="E1409" s="1">
        <v>90</v>
      </c>
      <c r="F1409" s="1">
        <v>247.5</v>
      </c>
    </row>
    <row r="1410" spans="1:6" x14ac:dyDescent="0.2">
      <c r="A1410" s="205">
        <v>0.5122916666666667</v>
      </c>
      <c r="B1410" s="1" t="s">
        <v>1102</v>
      </c>
      <c r="C1410" s="1">
        <v>84</v>
      </c>
      <c r="D1410" s="1" t="s">
        <v>30</v>
      </c>
      <c r="E1410" s="1">
        <v>100</v>
      </c>
      <c r="F1410" s="1">
        <v>255</v>
      </c>
    </row>
    <row r="1411" spans="1:6" x14ac:dyDescent="0.2">
      <c r="A1411" s="205">
        <v>0.51293981481481488</v>
      </c>
      <c r="B1411" s="1" t="s">
        <v>1086</v>
      </c>
      <c r="C1411" s="1">
        <v>52</v>
      </c>
      <c r="D1411" s="1" t="s">
        <v>30</v>
      </c>
      <c r="E1411" s="1">
        <v>110</v>
      </c>
      <c r="F1411" s="1">
        <v>260</v>
      </c>
    </row>
    <row r="1412" spans="1:6" x14ac:dyDescent="0.2">
      <c r="A1412" s="205">
        <v>0.51353009259259264</v>
      </c>
      <c r="B1412" s="1" t="s">
        <v>1085</v>
      </c>
      <c r="C1412" s="1">
        <v>52</v>
      </c>
      <c r="D1412" s="1" t="s">
        <v>30</v>
      </c>
      <c r="E1412" s="1">
        <v>115</v>
      </c>
      <c r="F1412" s="1">
        <v>250</v>
      </c>
    </row>
    <row r="1413" spans="1:6" x14ac:dyDescent="0.2">
      <c r="A1413" s="205">
        <v>0.51394675925925926</v>
      </c>
      <c r="B1413" s="1" t="s">
        <v>1089</v>
      </c>
      <c r="C1413" s="1">
        <v>63</v>
      </c>
      <c r="D1413" s="1" t="s">
        <v>30</v>
      </c>
      <c r="E1413" s="1">
        <v>120</v>
      </c>
      <c r="F1413" s="1">
        <v>327.5</v>
      </c>
    </row>
    <row r="1414" spans="1:6" x14ac:dyDescent="0.2">
      <c r="A1414" s="205">
        <v>0.51458333333333328</v>
      </c>
      <c r="B1414" s="1" t="s">
        <v>1088</v>
      </c>
      <c r="C1414" s="1">
        <v>63</v>
      </c>
      <c r="D1414" s="1" t="s">
        <v>30</v>
      </c>
      <c r="E1414" s="1">
        <v>-125</v>
      </c>
    </row>
    <row r="1415" spans="1:6" x14ac:dyDescent="0.2">
      <c r="A1415" s="205">
        <v>0.51520833333333338</v>
      </c>
      <c r="B1415" s="1" t="s">
        <v>1087</v>
      </c>
      <c r="C1415" s="1">
        <v>57</v>
      </c>
      <c r="D1415" s="1" t="s">
        <v>30</v>
      </c>
      <c r="E1415" s="1">
        <v>130</v>
      </c>
      <c r="F1415" s="1">
        <v>320</v>
      </c>
    </row>
    <row r="1416" spans="1:6" x14ac:dyDescent="0.2">
      <c r="A1416" s="205">
        <v>0.51581018518518518</v>
      </c>
      <c r="B1416" s="1" t="s">
        <v>1083</v>
      </c>
      <c r="C1416" s="1">
        <v>47</v>
      </c>
      <c r="D1416" s="1" t="s">
        <v>34</v>
      </c>
      <c r="E1416" s="1">
        <v>-95</v>
      </c>
    </row>
    <row r="1417" spans="1:6" x14ac:dyDescent="0.2">
      <c r="A1417" s="205">
        <v>0.51641203703703698</v>
      </c>
      <c r="B1417" s="1" t="s">
        <v>1084</v>
      </c>
      <c r="C1417" s="1">
        <v>52</v>
      </c>
      <c r="D1417" s="1" t="s">
        <v>34</v>
      </c>
      <c r="E1417" s="1">
        <v>95</v>
      </c>
      <c r="F1417" s="1">
        <v>240</v>
      </c>
    </row>
    <row r="1418" spans="1:6" x14ac:dyDescent="0.2">
      <c r="A1418" s="205">
        <v>0.5169097222222222</v>
      </c>
      <c r="B1418" s="1" t="s">
        <v>1090</v>
      </c>
      <c r="C1418" s="1">
        <v>72</v>
      </c>
      <c r="D1418" s="1" t="s">
        <v>34</v>
      </c>
      <c r="E1418" s="1">
        <v>105</v>
      </c>
      <c r="F1418" s="1">
        <v>262.5</v>
      </c>
    </row>
    <row r="1419" spans="1:6" x14ac:dyDescent="0.2">
      <c r="A1419" s="205">
        <v>0.51733796296296297</v>
      </c>
      <c r="B1419" s="1" t="s">
        <v>1102</v>
      </c>
      <c r="C1419" s="1">
        <v>84</v>
      </c>
      <c r="D1419" s="1" t="s">
        <v>34</v>
      </c>
      <c r="E1419" s="1">
        <v>110</v>
      </c>
      <c r="F1419" s="1">
        <v>265</v>
      </c>
    </row>
    <row r="1420" spans="1:6" x14ac:dyDescent="0.2">
      <c r="A1420" s="205">
        <v>0.51811342592592591</v>
      </c>
      <c r="B1420" s="1" t="s">
        <v>1086</v>
      </c>
      <c r="C1420" s="1">
        <v>52</v>
      </c>
      <c r="D1420" s="1" t="s">
        <v>34</v>
      </c>
      <c r="E1420" s="1">
        <v>117.5</v>
      </c>
      <c r="F1420" s="1">
        <v>267.5</v>
      </c>
    </row>
    <row r="1421" spans="1:6" x14ac:dyDescent="0.2">
      <c r="A1421" s="205">
        <v>0.51864583333333336</v>
      </c>
      <c r="B1421" s="1" t="s">
        <v>1085</v>
      </c>
      <c r="C1421" s="1">
        <v>52</v>
      </c>
      <c r="D1421" s="1" t="s">
        <v>34</v>
      </c>
      <c r="E1421" s="1">
        <v>122.5</v>
      </c>
      <c r="F1421" s="1">
        <v>257.5</v>
      </c>
    </row>
    <row r="1422" spans="1:6" x14ac:dyDescent="0.2">
      <c r="A1422" s="205">
        <v>0.51950231481481479</v>
      </c>
      <c r="B1422" s="1" t="s">
        <v>1088</v>
      </c>
      <c r="C1422" s="1">
        <v>63</v>
      </c>
      <c r="D1422" s="1" t="s">
        <v>34</v>
      </c>
      <c r="E1422" s="1">
        <v>125</v>
      </c>
      <c r="F1422" s="1">
        <v>292.5</v>
      </c>
    </row>
    <row r="1423" spans="1:6" x14ac:dyDescent="0.2">
      <c r="A1423" s="205">
        <v>0.52003472222222225</v>
      </c>
      <c r="B1423" s="1" t="s">
        <v>1089</v>
      </c>
      <c r="C1423" s="1">
        <v>63</v>
      </c>
      <c r="D1423" s="1" t="s">
        <v>34</v>
      </c>
      <c r="E1423" s="1">
        <v>130</v>
      </c>
      <c r="F1423" s="1">
        <v>337.5</v>
      </c>
    </row>
    <row r="1424" spans="1:6" x14ac:dyDescent="0.2">
      <c r="A1424" s="205">
        <v>0.52052083333333332</v>
      </c>
      <c r="B1424" s="1" t="s">
        <v>1087</v>
      </c>
      <c r="C1424" s="1">
        <v>57</v>
      </c>
      <c r="D1424" s="1" t="s">
        <v>34</v>
      </c>
      <c r="E1424" s="1">
        <v>135</v>
      </c>
      <c r="F1424" s="1">
        <v>325</v>
      </c>
    </row>
    <row r="1425" spans="1:6" x14ac:dyDescent="0.2">
      <c r="A1425" s="205">
        <v>0.52121527777777776</v>
      </c>
      <c r="B1425" s="1" t="s">
        <v>1083</v>
      </c>
      <c r="C1425" s="1">
        <v>47</v>
      </c>
      <c r="D1425" s="1" t="s">
        <v>38</v>
      </c>
      <c r="E1425" s="1">
        <v>95</v>
      </c>
    </row>
    <row r="1426" spans="1:6" x14ac:dyDescent="0.2">
      <c r="A1426" s="205">
        <v>0.52179398148148148</v>
      </c>
      <c r="B1426" s="1" t="s">
        <v>1090</v>
      </c>
      <c r="C1426" s="1">
        <v>72</v>
      </c>
      <c r="D1426" s="1" t="s">
        <v>38</v>
      </c>
      <c r="E1426" s="1">
        <v>-112.5</v>
      </c>
      <c r="F1426" s="1">
        <v>262.5</v>
      </c>
    </row>
    <row r="1427" spans="1:6" x14ac:dyDescent="0.2">
      <c r="A1427" s="205">
        <v>0.52280092592592597</v>
      </c>
      <c r="B1427" s="1" t="s">
        <v>1084</v>
      </c>
      <c r="C1427" s="1">
        <v>52</v>
      </c>
      <c r="D1427" s="1" t="s">
        <v>38</v>
      </c>
      <c r="E1427" s="1">
        <v>-115</v>
      </c>
      <c r="F1427" s="1">
        <v>240</v>
      </c>
    </row>
    <row r="1428" spans="1:6" x14ac:dyDescent="0.2">
      <c r="A1428" s="205">
        <v>0.52329861111111109</v>
      </c>
      <c r="B1428" s="1" t="s">
        <v>1086</v>
      </c>
      <c r="C1428" s="1">
        <v>52</v>
      </c>
      <c r="D1428" s="1" t="s">
        <v>38</v>
      </c>
      <c r="E1428" s="1">
        <v>120</v>
      </c>
      <c r="F1428" s="1">
        <v>270</v>
      </c>
    </row>
    <row r="1429" spans="1:6" x14ac:dyDescent="0.2">
      <c r="A1429" s="205">
        <v>0.52368055555555559</v>
      </c>
      <c r="B1429" s="1" t="s">
        <v>1102</v>
      </c>
      <c r="C1429" s="1">
        <v>84</v>
      </c>
      <c r="D1429" s="1" t="s">
        <v>38</v>
      </c>
      <c r="E1429" s="1">
        <v>-120</v>
      </c>
      <c r="F1429" s="1">
        <v>265</v>
      </c>
    </row>
    <row r="1430" spans="1:6" x14ac:dyDescent="0.2">
      <c r="A1430" s="205">
        <v>0.52425925925925931</v>
      </c>
      <c r="B1430" s="1" t="s">
        <v>1085</v>
      </c>
      <c r="C1430" s="1">
        <v>52</v>
      </c>
      <c r="D1430" s="1" t="s">
        <v>38</v>
      </c>
      <c r="E1430" s="1">
        <v>-130</v>
      </c>
      <c r="F1430" s="1">
        <v>257.5</v>
      </c>
    </row>
    <row r="1431" spans="1:6" x14ac:dyDescent="0.2">
      <c r="A1431" s="205">
        <v>0.52469907407407412</v>
      </c>
      <c r="B1431" s="1" t="s">
        <v>1088</v>
      </c>
      <c r="C1431" s="1">
        <v>63</v>
      </c>
      <c r="D1431" s="1" t="s">
        <v>38</v>
      </c>
      <c r="E1431" s="1">
        <v>-130</v>
      </c>
      <c r="F1431" s="1">
        <v>292.5</v>
      </c>
    </row>
    <row r="1432" spans="1:6" x14ac:dyDescent="0.2">
      <c r="A1432" s="205">
        <v>0.52515046296296297</v>
      </c>
      <c r="B1432" s="1" t="s">
        <v>1089</v>
      </c>
      <c r="C1432" s="1">
        <v>63</v>
      </c>
      <c r="D1432" s="1" t="s">
        <v>38</v>
      </c>
      <c r="E1432" s="1">
        <v>-135</v>
      </c>
      <c r="F1432" s="1">
        <v>337.5</v>
      </c>
    </row>
    <row r="1433" spans="1:6" x14ac:dyDescent="0.2">
      <c r="A1433" s="205">
        <v>0.52576388888888892</v>
      </c>
      <c r="B1433" s="1" t="s">
        <v>1087</v>
      </c>
      <c r="C1433" s="1">
        <v>57</v>
      </c>
      <c r="D1433" s="1" t="s">
        <v>38</v>
      </c>
      <c r="E1433" s="1">
        <v>140</v>
      </c>
      <c r="F1433" s="1">
        <v>330</v>
      </c>
    </row>
    <row r="1434" spans="1:6" x14ac:dyDescent="0.2">
      <c r="A1434" s="205">
        <v>0.52773148148148141</v>
      </c>
      <c r="B1434" s="1" t="s">
        <v>1098</v>
      </c>
      <c r="C1434" s="1">
        <v>66</v>
      </c>
      <c r="D1434" s="1" t="s">
        <v>30</v>
      </c>
      <c r="E1434" s="1">
        <v>100</v>
      </c>
      <c r="F1434" s="1">
        <v>328</v>
      </c>
    </row>
    <row r="1435" spans="1:6" x14ac:dyDescent="0.2">
      <c r="A1435" s="205">
        <v>0.52841435185185182</v>
      </c>
      <c r="B1435" s="1" t="s">
        <v>1091</v>
      </c>
      <c r="C1435" s="1">
        <v>59</v>
      </c>
      <c r="D1435" s="1" t="s">
        <v>30</v>
      </c>
      <c r="E1435" s="1">
        <v>125</v>
      </c>
      <c r="F1435" s="1">
        <v>315</v>
      </c>
    </row>
    <row r="1436" spans="1:6" x14ac:dyDescent="0.2">
      <c r="A1436" s="205">
        <v>0.52899305555555554</v>
      </c>
      <c r="B1436" s="1" t="s">
        <v>1092</v>
      </c>
      <c r="C1436" s="1">
        <v>59</v>
      </c>
      <c r="D1436" s="1" t="s">
        <v>30</v>
      </c>
      <c r="E1436" s="1">
        <v>150</v>
      </c>
      <c r="F1436" s="1">
        <v>370</v>
      </c>
    </row>
    <row r="1437" spans="1:6" x14ac:dyDescent="0.2">
      <c r="A1437" s="205">
        <v>0.52976851851851847</v>
      </c>
      <c r="B1437" s="1" t="s">
        <v>1094</v>
      </c>
      <c r="C1437" s="1">
        <v>66</v>
      </c>
      <c r="D1437" s="1" t="s">
        <v>30</v>
      </c>
      <c r="E1437" s="1">
        <v>160</v>
      </c>
      <c r="F1437" s="1">
        <v>415</v>
      </c>
    </row>
    <row r="1438" spans="1:6" x14ac:dyDescent="0.2">
      <c r="A1438" s="205">
        <v>0.53032407407407411</v>
      </c>
      <c r="B1438" s="1" t="s">
        <v>1101</v>
      </c>
      <c r="C1438" s="1">
        <v>66</v>
      </c>
      <c r="D1438" s="1" t="s">
        <v>30</v>
      </c>
      <c r="E1438" s="1">
        <v>160</v>
      </c>
      <c r="F1438" s="1">
        <v>417.5</v>
      </c>
    </row>
    <row r="1439" spans="1:6" x14ac:dyDescent="0.2">
      <c r="A1439" s="205">
        <v>0.53089120370370368</v>
      </c>
      <c r="B1439" s="1" t="s">
        <v>1095</v>
      </c>
      <c r="C1439" s="1">
        <v>66</v>
      </c>
      <c r="D1439" s="1" t="s">
        <v>30</v>
      </c>
      <c r="E1439" s="1">
        <v>170</v>
      </c>
      <c r="F1439" s="1">
        <v>445</v>
      </c>
    </row>
    <row r="1440" spans="1:6" x14ac:dyDescent="0.2">
      <c r="A1440" s="205">
        <v>0.53131944444444446</v>
      </c>
      <c r="B1440" s="1" t="s">
        <v>1096</v>
      </c>
      <c r="C1440" s="1">
        <v>66</v>
      </c>
      <c r="D1440" s="1" t="s">
        <v>30</v>
      </c>
      <c r="E1440" s="1">
        <v>170</v>
      </c>
      <c r="F1440" s="1">
        <v>440</v>
      </c>
    </row>
    <row r="1441" spans="1:6" x14ac:dyDescent="0.2">
      <c r="A1441" s="205">
        <v>0.5319328703703704</v>
      </c>
      <c r="B1441" s="1" t="s">
        <v>1099</v>
      </c>
      <c r="C1441" s="1">
        <v>66</v>
      </c>
      <c r="D1441" s="1" t="s">
        <v>30</v>
      </c>
      <c r="E1441" s="1">
        <v>180</v>
      </c>
      <c r="F1441" s="1">
        <v>410</v>
      </c>
    </row>
    <row r="1442" spans="1:6" x14ac:dyDescent="0.2">
      <c r="A1442" s="205">
        <v>0.53248842592592593</v>
      </c>
      <c r="B1442" s="1" t="s">
        <v>1093</v>
      </c>
      <c r="C1442" s="1">
        <v>59</v>
      </c>
      <c r="D1442" s="1" t="s">
        <v>30</v>
      </c>
      <c r="E1442" s="1">
        <v>185</v>
      </c>
      <c r="F1442" s="1">
        <v>490</v>
      </c>
    </row>
    <row r="1443" spans="1:6" x14ac:dyDescent="0.2">
      <c r="A1443" s="205">
        <v>0.53295138888888893</v>
      </c>
      <c r="B1443" s="1" t="s">
        <v>1097</v>
      </c>
      <c r="C1443" s="1">
        <v>66</v>
      </c>
      <c r="D1443" s="1" t="s">
        <v>30</v>
      </c>
      <c r="E1443" s="1">
        <v>185</v>
      </c>
      <c r="F1443" s="1">
        <v>465</v>
      </c>
    </row>
    <row r="1444" spans="1:6" x14ac:dyDescent="0.2">
      <c r="A1444" s="205">
        <v>0.53347222222222224</v>
      </c>
      <c r="B1444" s="1" t="s">
        <v>1100</v>
      </c>
      <c r="C1444" s="1">
        <v>66</v>
      </c>
      <c r="D1444" s="1" t="s">
        <v>30</v>
      </c>
      <c r="E1444" s="1">
        <v>190</v>
      </c>
      <c r="F1444" s="1">
        <v>465</v>
      </c>
    </row>
    <row r="1445" spans="1:6" x14ac:dyDescent="0.2">
      <c r="A1445" s="205">
        <v>0.53451388888888884</v>
      </c>
      <c r="B1445" s="1" t="s">
        <v>1091</v>
      </c>
      <c r="C1445" s="1">
        <v>59</v>
      </c>
      <c r="D1445" s="1" t="s">
        <v>34</v>
      </c>
      <c r="E1445" s="1">
        <v>130</v>
      </c>
      <c r="F1445" s="1">
        <v>320</v>
      </c>
    </row>
    <row r="1446" spans="1:6" x14ac:dyDescent="0.2">
      <c r="A1446" s="205">
        <v>0.53506944444444449</v>
      </c>
      <c r="B1446" s="1" t="s">
        <v>1098</v>
      </c>
      <c r="C1446" s="1">
        <v>66</v>
      </c>
      <c r="D1446" s="1" t="s">
        <v>34</v>
      </c>
      <c r="E1446" s="1">
        <v>135</v>
      </c>
      <c r="F1446" s="1">
        <v>363</v>
      </c>
    </row>
    <row r="1447" spans="1:6" x14ac:dyDescent="0.2">
      <c r="A1447" s="205">
        <v>0.53582175925925923</v>
      </c>
      <c r="B1447" s="1" t="s">
        <v>1092</v>
      </c>
      <c r="C1447" s="1">
        <v>59</v>
      </c>
      <c r="D1447" s="1" t="s">
        <v>34</v>
      </c>
      <c r="E1447" s="1">
        <v>162.5</v>
      </c>
      <c r="F1447" s="1">
        <v>382.5</v>
      </c>
    </row>
    <row r="1448" spans="1:6" x14ac:dyDescent="0.2">
      <c r="A1448" s="205">
        <v>0.53652777777777783</v>
      </c>
      <c r="B1448" s="1" t="s">
        <v>1094</v>
      </c>
      <c r="C1448" s="1">
        <v>66</v>
      </c>
      <c r="D1448" s="1" t="s">
        <v>34</v>
      </c>
      <c r="E1448" s="1">
        <v>170</v>
      </c>
      <c r="F1448" s="1">
        <v>425</v>
      </c>
    </row>
    <row r="1449" spans="1:6" x14ac:dyDescent="0.2">
      <c r="A1449" s="205">
        <v>0.53708333333333336</v>
      </c>
      <c r="B1449" s="1" t="s">
        <v>1101</v>
      </c>
      <c r="C1449" s="1">
        <v>66</v>
      </c>
      <c r="D1449" s="1" t="s">
        <v>34</v>
      </c>
      <c r="E1449" s="1">
        <v>170</v>
      </c>
      <c r="F1449" s="1">
        <v>427.5</v>
      </c>
    </row>
    <row r="1450" spans="1:6" x14ac:dyDescent="0.2">
      <c r="A1450" s="205">
        <v>0.53765046296296293</v>
      </c>
      <c r="B1450" s="1" t="s">
        <v>1095</v>
      </c>
      <c r="C1450" s="1">
        <v>66</v>
      </c>
      <c r="D1450" s="1" t="s">
        <v>34</v>
      </c>
      <c r="E1450" s="1">
        <v>180</v>
      </c>
      <c r="F1450" s="1">
        <v>455</v>
      </c>
    </row>
    <row r="1451" spans="1:6" x14ac:dyDescent="0.2">
      <c r="A1451" s="205">
        <v>0.53812499999999996</v>
      </c>
      <c r="B1451" s="1" t="s">
        <v>1096</v>
      </c>
      <c r="C1451" s="1">
        <v>66</v>
      </c>
      <c r="D1451" s="1" t="s">
        <v>34</v>
      </c>
      <c r="E1451" s="1">
        <v>180</v>
      </c>
      <c r="F1451" s="1">
        <v>450</v>
      </c>
    </row>
    <row r="1452" spans="1:6" x14ac:dyDescent="0.2">
      <c r="A1452" s="205">
        <v>0.53865740740740742</v>
      </c>
      <c r="B1452" s="1" t="s">
        <v>1093</v>
      </c>
      <c r="C1452" s="1">
        <v>59</v>
      </c>
      <c r="D1452" s="1" t="s">
        <v>34</v>
      </c>
      <c r="E1452" s="1">
        <v>195</v>
      </c>
      <c r="F1452" s="1">
        <v>500</v>
      </c>
    </row>
    <row r="1453" spans="1:6" x14ac:dyDescent="0.2">
      <c r="A1453" s="205">
        <v>0.53913194444444446</v>
      </c>
      <c r="B1453" s="1" t="s">
        <v>1097</v>
      </c>
      <c r="C1453" s="1">
        <v>66</v>
      </c>
      <c r="D1453" s="1" t="s">
        <v>34</v>
      </c>
      <c r="E1453" s="1">
        <v>-195</v>
      </c>
      <c r="F1453" s="1">
        <v>465</v>
      </c>
    </row>
    <row r="1454" spans="1:6" x14ac:dyDescent="0.2">
      <c r="A1454" s="205">
        <v>0.54006944444444438</v>
      </c>
      <c r="B1454" s="1" t="s">
        <v>1099</v>
      </c>
      <c r="C1454" s="1">
        <v>66</v>
      </c>
      <c r="D1454" s="1" t="s">
        <v>34</v>
      </c>
      <c r="E1454" s="1">
        <v>-200</v>
      </c>
      <c r="F1454" s="1">
        <v>410</v>
      </c>
    </row>
    <row r="1455" spans="1:6" x14ac:dyDescent="0.2">
      <c r="A1455" s="205">
        <v>0.54037037037037039</v>
      </c>
      <c r="B1455" s="1" t="s">
        <v>1100</v>
      </c>
      <c r="C1455" s="1">
        <v>66</v>
      </c>
      <c r="D1455" s="1" t="s">
        <v>34</v>
      </c>
      <c r="E1455" s="1">
        <v>200</v>
      </c>
      <c r="F1455" s="1">
        <v>475</v>
      </c>
    </row>
    <row r="1456" spans="1:6" x14ac:dyDescent="0.2">
      <c r="A1456" s="205">
        <v>0.54125000000000001</v>
      </c>
      <c r="B1456" s="1" t="s">
        <v>1091</v>
      </c>
      <c r="C1456" s="1">
        <v>59</v>
      </c>
      <c r="D1456" s="1" t="s">
        <v>38</v>
      </c>
      <c r="E1456" s="1">
        <v>135</v>
      </c>
      <c r="F1456" s="1">
        <v>325</v>
      </c>
    </row>
    <row r="1457" spans="1:6" x14ac:dyDescent="0.2">
      <c r="A1457" s="205">
        <v>0.54194444444444445</v>
      </c>
      <c r="B1457" s="1" t="s">
        <v>1092</v>
      </c>
      <c r="C1457" s="1">
        <v>59</v>
      </c>
      <c r="D1457" s="1" t="s">
        <v>38</v>
      </c>
      <c r="E1457" s="1">
        <v>-175</v>
      </c>
      <c r="F1457" s="1">
        <v>382.5</v>
      </c>
    </row>
    <row r="1458" spans="1:6" x14ac:dyDescent="0.2">
      <c r="A1458" s="205">
        <v>0.54274305555555558</v>
      </c>
      <c r="B1458" s="1" t="s">
        <v>1101</v>
      </c>
      <c r="C1458" s="1">
        <v>66</v>
      </c>
      <c r="D1458" s="1" t="s">
        <v>38</v>
      </c>
      <c r="E1458" s="1">
        <v>-177.5</v>
      </c>
      <c r="F1458" s="1">
        <v>427.5</v>
      </c>
    </row>
    <row r="1459" spans="1:6" x14ac:dyDescent="0.2">
      <c r="A1459" s="205">
        <v>0.54346064814814821</v>
      </c>
      <c r="B1459" s="1" t="s">
        <v>1094</v>
      </c>
      <c r="C1459" s="1">
        <v>66</v>
      </c>
      <c r="D1459" s="1" t="s">
        <v>38</v>
      </c>
      <c r="E1459" s="1">
        <v>-180</v>
      </c>
      <c r="F1459" s="1">
        <v>425</v>
      </c>
    </row>
    <row r="1460" spans="1:6" x14ac:dyDescent="0.2">
      <c r="A1460" s="205">
        <v>0.54395833333333332</v>
      </c>
      <c r="B1460" s="1" t="s">
        <v>1096</v>
      </c>
      <c r="C1460" s="1">
        <v>66</v>
      </c>
      <c r="D1460" s="1" t="s">
        <v>38</v>
      </c>
      <c r="E1460" s="1">
        <v>-185</v>
      </c>
      <c r="F1460" s="1">
        <v>450</v>
      </c>
    </row>
    <row r="1461" spans="1:6" x14ac:dyDescent="0.2">
      <c r="A1461" s="205">
        <v>0.54478009259259264</v>
      </c>
      <c r="B1461" s="1" t="s">
        <v>1095</v>
      </c>
      <c r="C1461" s="1">
        <v>66</v>
      </c>
      <c r="D1461" s="1" t="s">
        <v>38</v>
      </c>
      <c r="E1461" s="1">
        <v>190</v>
      </c>
      <c r="F1461" s="1">
        <v>465</v>
      </c>
    </row>
    <row r="1462" spans="1:6" x14ac:dyDescent="0.2">
      <c r="A1462" s="205">
        <v>0.54542824074074081</v>
      </c>
      <c r="B1462" s="1" t="s">
        <v>1093</v>
      </c>
      <c r="C1462" s="1">
        <v>59</v>
      </c>
      <c r="D1462" s="1" t="s">
        <v>38</v>
      </c>
      <c r="E1462" s="1">
        <v>-202.5</v>
      </c>
      <c r="F1462" s="1">
        <v>500</v>
      </c>
    </row>
    <row r="1463" spans="1:6" x14ac:dyDescent="0.2">
      <c r="A1463" s="205">
        <v>0.54598379629629623</v>
      </c>
      <c r="B1463" s="1" t="s">
        <v>1100</v>
      </c>
      <c r="C1463" s="1">
        <v>66</v>
      </c>
      <c r="D1463" s="1" t="s">
        <v>38</v>
      </c>
      <c r="E1463" s="1">
        <v>210</v>
      </c>
      <c r="F1463" s="1">
        <v>485</v>
      </c>
    </row>
    <row r="1464" spans="1:6" x14ac:dyDescent="0.2">
      <c r="A1464" s="205">
        <v>0.45973379629629635</v>
      </c>
      <c r="B1464" s="1" t="s">
        <v>1125</v>
      </c>
      <c r="C1464" s="1">
        <v>66</v>
      </c>
      <c r="D1464" s="1" t="s">
        <v>27</v>
      </c>
      <c r="E1464" s="1">
        <v>110</v>
      </c>
    </row>
    <row r="1465" spans="1:6" x14ac:dyDescent="0.2">
      <c r="A1465" s="205">
        <v>0.46062500000000001</v>
      </c>
      <c r="B1465" s="1" t="s">
        <v>1103</v>
      </c>
      <c r="C1465" s="1">
        <v>59</v>
      </c>
      <c r="D1465" s="1" t="s">
        <v>27</v>
      </c>
      <c r="E1465" s="1">
        <v>135</v>
      </c>
    </row>
    <row r="1466" spans="1:6" x14ac:dyDescent="0.2">
      <c r="A1466" s="205">
        <v>0.46151620370370372</v>
      </c>
      <c r="B1466" s="1" t="s">
        <v>1105</v>
      </c>
      <c r="C1466" s="1">
        <v>66</v>
      </c>
      <c r="D1466" s="1" t="s">
        <v>27</v>
      </c>
      <c r="E1466" s="1">
        <v>205</v>
      </c>
    </row>
    <row r="1467" spans="1:6" x14ac:dyDescent="0.2">
      <c r="A1467" s="205">
        <v>0.46248842592592593</v>
      </c>
      <c r="B1467" s="1" t="s">
        <v>1108</v>
      </c>
      <c r="C1467" s="1">
        <v>74</v>
      </c>
      <c r="D1467" s="1" t="s">
        <v>27</v>
      </c>
      <c r="E1467" s="1">
        <v>210</v>
      </c>
    </row>
    <row r="1468" spans="1:6" x14ac:dyDescent="0.2">
      <c r="A1468" s="205">
        <v>0.46333333333333332</v>
      </c>
      <c r="B1468" s="1" t="s">
        <v>1109</v>
      </c>
      <c r="C1468" s="1">
        <v>74</v>
      </c>
      <c r="D1468" s="1" t="s">
        <v>27</v>
      </c>
      <c r="E1468" s="1">
        <v>220</v>
      </c>
    </row>
    <row r="1469" spans="1:6" x14ac:dyDescent="0.2">
      <c r="A1469" s="205">
        <v>0.46412037037037041</v>
      </c>
      <c r="B1469" s="1" t="s">
        <v>1104</v>
      </c>
      <c r="C1469" s="1">
        <v>66</v>
      </c>
      <c r="D1469" s="1" t="s">
        <v>27</v>
      </c>
      <c r="E1469" s="1">
        <v>235</v>
      </c>
    </row>
    <row r="1470" spans="1:6" x14ac:dyDescent="0.2">
      <c r="A1470" s="205">
        <v>0.46506944444444448</v>
      </c>
      <c r="B1470" s="1" t="s">
        <v>1107</v>
      </c>
      <c r="C1470" s="1">
        <v>74</v>
      </c>
      <c r="D1470" s="1" t="s">
        <v>27</v>
      </c>
      <c r="E1470" s="1">
        <v>265</v>
      </c>
    </row>
    <row r="1471" spans="1:6" x14ac:dyDescent="0.2">
      <c r="A1471" s="205">
        <v>0.46612268518518518</v>
      </c>
      <c r="B1471" s="1" t="s">
        <v>1126</v>
      </c>
      <c r="C1471" s="1">
        <v>74</v>
      </c>
      <c r="D1471" s="1" t="s">
        <v>27</v>
      </c>
      <c r="E1471" s="1">
        <v>-315</v>
      </c>
    </row>
    <row r="1472" spans="1:6" x14ac:dyDescent="0.2">
      <c r="A1472" s="205">
        <v>0.46696759259259263</v>
      </c>
      <c r="B1472" s="1" t="s">
        <v>1125</v>
      </c>
      <c r="C1472" s="1">
        <v>66</v>
      </c>
      <c r="D1472" s="1" t="s">
        <v>31</v>
      </c>
      <c r="E1472" s="1">
        <v>-120</v>
      </c>
      <c r="F1472" s="1">
        <v>290</v>
      </c>
    </row>
    <row r="1473" spans="1:6" x14ac:dyDescent="0.2">
      <c r="A1473" s="205">
        <v>0.46831018518518519</v>
      </c>
      <c r="B1473" s="1" t="s">
        <v>1103</v>
      </c>
      <c r="C1473" s="1">
        <v>59</v>
      </c>
      <c r="D1473" s="1" t="s">
        <v>31</v>
      </c>
      <c r="E1473" s="1">
        <v>145</v>
      </c>
    </row>
    <row r="1474" spans="1:6" x14ac:dyDescent="0.2">
      <c r="A1474" s="205">
        <v>0.46913194444444445</v>
      </c>
      <c r="B1474" s="1" t="s">
        <v>1105</v>
      </c>
      <c r="C1474" s="1">
        <v>66</v>
      </c>
      <c r="D1474" s="1" t="s">
        <v>31</v>
      </c>
      <c r="E1474" s="1">
        <v>217.5</v>
      </c>
    </row>
    <row r="1475" spans="1:6" x14ac:dyDescent="0.2">
      <c r="A1475" s="205">
        <v>0.46987268518518516</v>
      </c>
      <c r="B1475" s="1" t="s">
        <v>1108</v>
      </c>
      <c r="C1475" s="1">
        <v>74</v>
      </c>
      <c r="D1475" s="1" t="s">
        <v>31</v>
      </c>
      <c r="E1475" s="1">
        <v>220</v>
      </c>
    </row>
    <row r="1476" spans="1:6" x14ac:dyDescent="0.2">
      <c r="A1476" s="205">
        <v>0.47075231481481478</v>
      </c>
      <c r="B1476" s="1" t="s">
        <v>1109</v>
      </c>
      <c r="C1476" s="1">
        <v>74</v>
      </c>
      <c r="D1476" s="1" t="s">
        <v>31</v>
      </c>
      <c r="E1476" s="1">
        <v>230</v>
      </c>
    </row>
    <row r="1477" spans="1:6" x14ac:dyDescent="0.2">
      <c r="A1477" s="205">
        <v>0.47160879629629626</v>
      </c>
      <c r="B1477" s="1" t="s">
        <v>1104</v>
      </c>
      <c r="C1477" s="1">
        <v>66</v>
      </c>
      <c r="D1477" s="1" t="s">
        <v>31</v>
      </c>
      <c r="E1477" s="1">
        <v>245</v>
      </c>
    </row>
    <row r="1478" spans="1:6" x14ac:dyDescent="0.2">
      <c r="A1478" s="205">
        <v>0.47255787037037034</v>
      </c>
      <c r="B1478" s="1" t="s">
        <v>1107</v>
      </c>
      <c r="C1478" s="1">
        <v>74</v>
      </c>
      <c r="D1478" s="1" t="s">
        <v>31</v>
      </c>
      <c r="E1478" s="1">
        <v>275</v>
      </c>
    </row>
    <row r="1479" spans="1:6" x14ac:dyDescent="0.2">
      <c r="A1479" s="205">
        <v>0.4736805555555556</v>
      </c>
      <c r="B1479" s="1" t="s">
        <v>1126</v>
      </c>
      <c r="C1479" s="1">
        <v>74</v>
      </c>
      <c r="D1479" s="1" t="s">
        <v>31</v>
      </c>
      <c r="E1479" s="1">
        <v>315</v>
      </c>
    </row>
    <row r="1480" spans="1:6" x14ac:dyDescent="0.2">
      <c r="A1480" s="205">
        <v>0.47446759259259258</v>
      </c>
      <c r="B1480" s="1" t="s">
        <v>1125</v>
      </c>
      <c r="C1480" s="1">
        <v>66</v>
      </c>
      <c r="D1480" s="1" t="s">
        <v>35</v>
      </c>
      <c r="E1480" s="1">
        <v>120</v>
      </c>
    </row>
    <row r="1481" spans="1:6" x14ac:dyDescent="0.2">
      <c r="A1481" s="205">
        <v>0.4753472222222222</v>
      </c>
      <c r="B1481" s="1" t="s">
        <v>1103</v>
      </c>
      <c r="C1481" s="1">
        <v>59</v>
      </c>
      <c r="D1481" s="1" t="s">
        <v>35</v>
      </c>
      <c r="E1481" s="1">
        <v>150</v>
      </c>
    </row>
    <row r="1482" spans="1:6" x14ac:dyDescent="0.2">
      <c r="A1482" s="205">
        <v>0.47646990740740741</v>
      </c>
      <c r="B1482" s="1" t="s">
        <v>1105</v>
      </c>
      <c r="C1482" s="1">
        <v>66</v>
      </c>
      <c r="D1482" s="1" t="s">
        <v>35</v>
      </c>
      <c r="E1482" s="1">
        <v>-220</v>
      </c>
      <c r="F1482" s="1">
        <v>522.5</v>
      </c>
    </row>
    <row r="1483" spans="1:6" x14ac:dyDescent="0.2">
      <c r="A1483" s="205">
        <v>0.47738425925925926</v>
      </c>
      <c r="B1483" s="1" t="s">
        <v>1108</v>
      </c>
      <c r="C1483" s="1">
        <v>74</v>
      </c>
      <c r="D1483" s="1" t="s">
        <v>35</v>
      </c>
      <c r="E1483" s="1">
        <v>230</v>
      </c>
    </row>
    <row r="1484" spans="1:6" x14ac:dyDescent="0.2">
      <c r="A1484" s="205">
        <v>0.47818287037037038</v>
      </c>
      <c r="B1484" s="1" t="s">
        <v>1109</v>
      </c>
      <c r="C1484" s="1">
        <v>74</v>
      </c>
      <c r="D1484" s="1" t="s">
        <v>35</v>
      </c>
      <c r="E1484" s="1">
        <v>-240</v>
      </c>
      <c r="F1484" s="1">
        <v>597.5</v>
      </c>
    </row>
    <row r="1485" spans="1:6" x14ac:dyDescent="0.2">
      <c r="A1485" s="205">
        <v>0.47886574074074079</v>
      </c>
      <c r="B1485" s="1" t="s">
        <v>1104</v>
      </c>
      <c r="C1485" s="1">
        <v>66</v>
      </c>
      <c r="D1485" s="1" t="s">
        <v>35</v>
      </c>
      <c r="E1485" s="1">
        <v>-255</v>
      </c>
      <c r="F1485" s="1">
        <v>520</v>
      </c>
    </row>
    <row r="1486" spans="1:6" x14ac:dyDescent="0.2">
      <c r="A1486" s="205">
        <v>0.4798263888888889</v>
      </c>
      <c r="B1486" s="1" t="s">
        <v>1107</v>
      </c>
      <c r="C1486" s="1">
        <v>74</v>
      </c>
      <c r="D1486" s="1" t="s">
        <v>35</v>
      </c>
      <c r="E1486" s="1">
        <v>-282.5</v>
      </c>
      <c r="F1486" s="1">
        <v>777.5</v>
      </c>
    </row>
    <row r="1487" spans="1:6" x14ac:dyDescent="0.2">
      <c r="A1487" s="205">
        <v>0.48108796296296297</v>
      </c>
      <c r="B1487" s="1" t="s">
        <v>1126</v>
      </c>
      <c r="C1487" s="1">
        <v>74</v>
      </c>
      <c r="D1487" s="1" t="s">
        <v>35</v>
      </c>
      <c r="E1487" s="1">
        <v>-321</v>
      </c>
      <c r="F1487" s="1">
        <v>780</v>
      </c>
    </row>
    <row r="1488" spans="1:6" x14ac:dyDescent="0.2">
      <c r="A1488" s="205">
        <v>0.48295138888888894</v>
      </c>
      <c r="B1488" s="1" t="s">
        <v>1127</v>
      </c>
      <c r="C1488" s="1">
        <v>83</v>
      </c>
      <c r="D1488" s="1" t="s">
        <v>27</v>
      </c>
      <c r="E1488" s="1">
        <v>140</v>
      </c>
    </row>
    <row r="1489" spans="1:6" x14ac:dyDescent="0.2">
      <c r="A1489" s="205">
        <v>0.4840740740740741</v>
      </c>
      <c r="B1489" s="1" t="s">
        <v>1110</v>
      </c>
      <c r="C1489" s="1">
        <v>83</v>
      </c>
      <c r="D1489" s="1" t="s">
        <v>27</v>
      </c>
      <c r="E1489" s="1">
        <v>-160</v>
      </c>
    </row>
    <row r="1490" spans="1:6" x14ac:dyDescent="0.2">
      <c r="A1490" s="205">
        <v>0.48483796296296294</v>
      </c>
      <c r="B1490" s="1" t="s">
        <v>1106</v>
      </c>
      <c r="C1490" s="1">
        <v>74</v>
      </c>
      <c r="D1490" s="1" t="s">
        <v>27</v>
      </c>
      <c r="E1490" s="1">
        <v>-200</v>
      </c>
    </row>
    <row r="1491" spans="1:6" x14ac:dyDescent="0.2">
      <c r="A1491" s="205">
        <v>0.48604166666666665</v>
      </c>
      <c r="B1491" s="1" t="s">
        <v>1111</v>
      </c>
      <c r="C1491" s="1">
        <v>83</v>
      </c>
      <c r="D1491" s="1" t="s">
        <v>27</v>
      </c>
      <c r="E1491" s="1">
        <v>220</v>
      </c>
    </row>
    <row r="1492" spans="1:6" x14ac:dyDescent="0.2">
      <c r="A1492" s="205">
        <v>0.4872569444444444</v>
      </c>
      <c r="B1492" s="1" t="s">
        <v>1114</v>
      </c>
      <c r="C1492" s="1">
        <v>83</v>
      </c>
      <c r="D1492" s="1" t="s">
        <v>27</v>
      </c>
      <c r="E1492" s="1">
        <v>230</v>
      </c>
    </row>
    <row r="1493" spans="1:6" x14ac:dyDescent="0.2">
      <c r="A1493" s="205">
        <v>0.48822916666666666</v>
      </c>
      <c r="B1493" s="1" t="s">
        <v>1129</v>
      </c>
      <c r="C1493" s="1">
        <v>105</v>
      </c>
      <c r="D1493" s="1" t="s">
        <v>27</v>
      </c>
      <c r="E1493" s="1">
        <v>250</v>
      </c>
    </row>
    <row r="1494" spans="1:6" x14ac:dyDescent="0.2">
      <c r="A1494" s="205">
        <v>0.48936342592592591</v>
      </c>
      <c r="B1494" s="1" t="s">
        <v>1112</v>
      </c>
      <c r="C1494" s="1">
        <v>83</v>
      </c>
      <c r="D1494" s="1" t="s">
        <v>27</v>
      </c>
      <c r="E1494" s="1">
        <v>270</v>
      </c>
    </row>
    <row r="1495" spans="1:6" x14ac:dyDescent="0.2">
      <c r="A1495" s="205">
        <v>0.49048611111111112</v>
      </c>
      <c r="B1495" s="1" t="s">
        <v>1113</v>
      </c>
      <c r="C1495" s="1">
        <v>83</v>
      </c>
      <c r="D1495" s="1" t="s">
        <v>27</v>
      </c>
      <c r="E1495" s="1">
        <v>300</v>
      </c>
    </row>
    <row r="1496" spans="1:6" x14ac:dyDescent="0.2">
      <c r="A1496" s="205">
        <v>0.49137731481481484</v>
      </c>
      <c r="B1496" s="1" t="s">
        <v>1117</v>
      </c>
      <c r="C1496" s="1">
        <v>105</v>
      </c>
      <c r="D1496" s="1" t="s">
        <v>27</v>
      </c>
      <c r="E1496" s="1">
        <v>330</v>
      </c>
    </row>
    <row r="1497" spans="1:6" x14ac:dyDescent="0.2">
      <c r="A1497" s="205">
        <v>0.49276620370370372</v>
      </c>
      <c r="B1497" s="1" t="s">
        <v>1116</v>
      </c>
      <c r="C1497" s="1">
        <v>105</v>
      </c>
      <c r="D1497" s="1" t="s">
        <v>27</v>
      </c>
      <c r="E1497" s="1">
        <v>335</v>
      </c>
    </row>
    <row r="1498" spans="1:6" x14ac:dyDescent="0.2">
      <c r="A1498" s="205">
        <v>0.49372685185185183</v>
      </c>
      <c r="B1498" s="1" t="s">
        <v>1127</v>
      </c>
      <c r="C1498" s="1">
        <v>83</v>
      </c>
      <c r="D1498" s="1" t="s">
        <v>31</v>
      </c>
      <c r="E1498" s="1">
        <v>150</v>
      </c>
    </row>
    <row r="1499" spans="1:6" x14ac:dyDescent="0.2">
      <c r="A1499" s="205">
        <v>0.49447916666666664</v>
      </c>
      <c r="B1499" s="1" t="s">
        <v>1110</v>
      </c>
      <c r="C1499" s="1">
        <v>83</v>
      </c>
      <c r="D1499" s="1" t="s">
        <v>31</v>
      </c>
      <c r="E1499" s="1">
        <v>160</v>
      </c>
    </row>
    <row r="1500" spans="1:6" x14ac:dyDescent="0.2">
      <c r="A1500" s="205">
        <v>0.4952893518518518</v>
      </c>
      <c r="B1500" s="1" t="s">
        <v>1106</v>
      </c>
      <c r="C1500" s="1">
        <v>74</v>
      </c>
      <c r="D1500" s="1" t="s">
        <v>31</v>
      </c>
      <c r="E1500" s="1">
        <v>-200</v>
      </c>
    </row>
    <row r="1501" spans="1:6" x14ac:dyDescent="0.2">
      <c r="A1501" s="205">
        <v>0.49641203703703707</v>
      </c>
      <c r="B1501" s="1" t="s">
        <v>1111</v>
      </c>
      <c r="C1501" s="1">
        <v>83</v>
      </c>
      <c r="D1501" s="1" t="s">
        <v>31</v>
      </c>
      <c r="E1501" s="1">
        <v>-235</v>
      </c>
      <c r="F1501" s="1">
        <v>515</v>
      </c>
    </row>
    <row r="1502" spans="1:6" x14ac:dyDescent="0.2">
      <c r="A1502" s="205">
        <v>0.49739583333333331</v>
      </c>
      <c r="B1502" s="1" t="s">
        <v>1114</v>
      </c>
      <c r="C1502" s="1">
        <v>83</v>
      </c>
      <c r="D1502" s="1" t="s">
        <v>31</v>
      </c>
      <c r="E1502" s="1">
        <v>242.5</v>
      </c>
    </row>
    <row r="1503" spans="1:6" x14ac:dyDescent="0.2">
      <c r="A1503" s="205">
        <v>0.49855324074074076</v>
      </c>
      <c r="B1503" s="1" t="s">
        <v>1129</v>
      </c>
      <c r="C1503" s="1">
        <v>105</v>
      </c>
      <c r="D1503" s="1" t="s">
        <v>31</v>
      </c>
      <c r="E1503" s="1">
        <v>-260</v>
      </c>
      <c r="F1503" s="1">
        <v>625</v>
      </c>
    </row>
    <row r="1504" spans="1:6" x14ac:dyDescent="0.2">
      <c r="A1504" s="205">
        <v>0.49960648148148151</v>
      </c>
      <c r="B1504" s="1" t="s">
        <v>1112</v>
      </c>
      <c r="C1504" s="1">
        <v>83</v>
      </c>
      <c r="D1504" s="1" t="s">
        <v>31</v>
      </c>
      <c r="E1504" s="1">
        <v>290</v>
      </c>
    </row>
    <row r="1505" spans="1:6" x14ac:dyDescent="0.2">
      <c r="A1505" s="205">
        <v>0.50069444444444444</v>
      </c>
      <c r="B1505" s="1" t="s">
        <v>1113</v>
      </c>
      <c r="C1505" s="1">
        <v>83</v>
      </c>
      <c r="D1505" s="1" t="s">
        <v>31</v>
      </c>
      <c r="E1505" s="1">
        <v>310</v>
      </c>
    </row>
    <row r="1506" spans="1:6" x14ac:dyDescent="0.2">
      <c r="A1506" s="205">
        <v>0.50182870370370369</v>
      </c>
      <c r="B1506" s="1" t="s">
        <v>1116</v>
      </c>
      <c r="C1506" s="1">
        <v>105</v>
      </c>
      <c r="D1506" s="1" t="s">
        <v>31</v>
      </c>
      <c r="E1506" s="1">
        <v>-350</v>
      </c>
      <c r="F1506" s="1">
        <v>865</v>
      </c>
    </row>
    <row r="1507" spans="1:6" x14ac:dyDescent="0.2">
      <c r="A1507" s="205">
        <v>0.50288194444444445</v>
      </c>
      <c r="B1507" s="1" t="s">
        <v>1117</v>
      </c>
      <c r="C1507" s="1">
        <v>105</v>
      </c>
      <c r="D1507" s="1" t="s">
        <v>31</v>
      </c>
      <c r="E1507" s="1">
        <v>358</v>
      </c>
    </row>
    <row r="1508" spans="1:6" x14ac:dyDescent="0.2">
      <c r="A1508" s="205">
        <v>0.50408564814814816</v>
      </c>
      <c r="B1508" s="1" t="s">
        <v>1110</v>
      </c>
      <c r="C1508" s="1">
        <v>83</v>
      </c>
      <c r="D1508" s="1" t="s">
        <v>35</v>
      </c>
      <c r="E1508" s="1">
        <v>170</v>
      </c>
    </row>
    <row r="1509" spans="1:6" x14ac:dyDescent="0.2">
      <c r="A1509" s="205">
        <v>0.50497685185185182</v>
      </c>
      <c r="B1509" s="1" t="s">
        <v>1106</v>
      </c>
      <c r="C1509" s="1">
        <v>74</v>
      </c>
      <c r="D1509" s="1" t="s">
        <v>35</v>
      </c>
      <c r="E1509" s="1">
        <v>-200</v>
      </c>
    </row>
    <row r="1510" spans="1:6" x14ac:dyDescent="0.2">
      <c r="A1510" s="205">
        <v>0.50572916666666667</v>
      </c>
      <c r="B1510" s="1" t="s">
        <v>1111</v>
      </c>
      <c r="C1510" s="1">
        <v>83</v>
      </c>
      <c r="D1510" s="1" t="s">
        <v>35</v>
      </c>
      <c r="E1510" s="1">
        <v>-235</v>
      </c>
      <c r="F1510" s="1">
        <v>515</v>
      </c>
    </row>
    <row r="1511" spans="1:6" x14ac:dyDescent="0.2">
      <c r="A1511" s="205">
        <v>0.50692129629629623</v>
      </c>
      <c r="B1511" s="1" t="s">
        <v>1114</v>
      </c>
      <c r="C1511" s="1">
        <v>83</v>
      </c>
      <c r="D1511" s="1" t="s">
        <v>35</v>
      </c>
      <c r="E1511" s="1">
        <v>-247.5</v>
      </c>
      <c r="F1511" s="1">
        <v>672.5</v>
      </c>
    </row>
    <row r="1512" spans="1:6" x14ac:dyDescent="0.2">
      <c r="A1512" s="205">
        <v>0.50796296296296295</v>
      </c>
      <c r="B1512" s="1" t="s">
        <v>1129</v>
      </c>
      <c r="C1512" s="1">
        <v>105</v>
      </c>
      <c r="D1512" s="1" t="s">
        <v>35</v>
      </c>
      <c r="E1512" s="1">
        <v>267.5</v>
      </c>
    </row>
    <row r="1513" spans="1:6" x14ac:dyDescent="0.2">
      <c r="A1513" s="205">
        <v>0.50896990740740744</v>
      </c>
      <c r="B1513" s="1" t="s">
        <v>1112</v>
      </c>
      <c r="C1513" s="1">
        <v>83</v>
      </c>
      <c r="D1513" s="1" t="s">
        <v>35</v>
      </c>
      <c r="E1513" s="1">
        <v>310</v>
      </c>
    </row>
    <row r="1514" spans="1:6" x14ac:dyDescent="0.2">
      <c r="A1514" s="205">
        <v>0.5100810185185185</v>
      </c>
      <c r="B1514" s="1" t="s">
        <v>1113</v>
      </c>
      <c r="C1514" s="1">
        <v>83</v>
      </c>
      <c r="D1514" s="1" t="s">
        <v>35</v>
      </c>
      <c r="E1514" s="1">
        <v>320</v>
      </c>
    </row>
    <row r="1515" spans="1:6" x14ac:dyDescent="0.2">
      <c r="A1515" s="205">
        <v>0.51109953703703703</v>
      </c>
      <c r="B1515" s="1" t="s">
        <v>1116</v>
      </c>
      <c r="C1515" s="1">
        <v>105</v>
      </c>
      <c r="D1515" s="1" t="s">
        <v>35</v>
      </c>
      <c r="E1515" s="1">
        <v>350</v>
      </c>
    </row>
    <row r="1516" spans="1:6" x14ac:dyDescent="0.2">
      <c r="A1516" s="205">
        <v>0.51222222222222225</v>
      </c>
      <c r="B1516" s="1" t="s">
        <v>1117</v>
      </c>
      <c r="C1516" s="1">
        <v>105</v>
      </c>
      <c r="D1516" s="1" t="s">
        <v>35</v>
      </c>
      <c r="E1516" s="1">
        <v>-370.5</v>
      </c>
      <c r="F1516" s="1">
        <v>808</v>
      </c>
    </row>
    <row r="1517" spans="1:6" x14ac:dyDescent="0.2">
      <c r="A1517" s="205">
        <v>0.51447916666666671</v>
      </c>
      <c r="B1517" s="1" t="s">
        <v>1115</v>
      </c>
      <c r="C1517" s="1">
        <v>105</v>
      </c>
      <c r="D1517" s="1" t="s">
        <v>27</v>
      </c>
      <c r="E1517" s="1">
        <v>-190</v>
      </c>
    </row>
    <row r="1518" spans="1:6" x14ac:dyDescent="0.2">
      <c r="A1518" s="205">
        <v>0.51517361111111104</v>
      </c>
      <c r="B1518" s="1" t="s">
        <v>1120</v>
      </c>
      <c r="C1518" s="1">
        <v>93</v>
      </c>
      <c r="D1518" s="1" t="s">
        <v>27</v>
      </c>
      <c r="E1518" s="1">
        <v>200</v>
      </c>
    </row>
    <row r="1519" spans="1:6" x14ac:dyDescent="0.2">
      <c r="A1519" s="205">
        <v>0.5160069444444445</v>
      </c>
      <c r="B1519" s="1" t="s">
        <v>1118</v>
      </c>
      <c r="C1519" s="1">
        <v>93</v>
      </c>
      <c r="D1519" s="1" t="s">
        <v>27</v>
      </c>
      <c r="E1519" s="1">
        <v>230</v>
      </c>
    </row>
    <row r="1520" spans="1:6" x14ac:dyDescent="0.2">
      <c r="A1520" s="205">
        <v>0.51671296296296299</v>
      </c>
      <c r="B1520" s="1" t="s">
        <v>1128</v>
      </c>
      <c r="C1520" s="1">
        <v>83</v>
      </c>
      <c r="D1520" s="1" t="s">
        <v>27</v>
      </c>
      <c r="E1520" s="1">
        <v>235</v>
      </c>
    </row>
    <row r="1521" spans="1:6" x14ac:dyDescent="0.2">
      <c r="A1521" s="205">
        <v>0.51770833333333333</v>
      </c>
      <c r="B1521" s="1" t="s">
        <v>1119</v>
      </c>
      <c r="C1521" s="1">
        <v>93</v>
      </c>
      <c r="D1521" s="1" t="s">
        <v>27</v>
      </c>
      <c r="E1521" s="1">
        <v>280</v>
      </c>
    </row>
    <row r="1522" spans="1:6" x14ac:dyDescent="0.2">
      <c r="A1522" s="205">
        <v>0.51876157407407408</v>
      </c>
      <c r="B1522" s="1" t="s">
        <v>1123</v>
      </c>
      <c r="C1522" s="1">
        <v>120</v>
      </c>
      <c r="D1522" s="1" t="s">
        <v>27</v>
      </c>
      <c r="E1522" s="1">
        <v>300</v>
      </c>
    </row>
    <row r="1523" spans="1:6" x14ac:dyDescent="0.2">
      <c r="A1523" s="205">
        <v>0.51982638888888888</v>
      </c>
      <c r="B1523" s="1" t="s">
        <v>1122</v>
      </c>
      <c r="C1523" s="1">
        <v>120</v>
      </c>
      <c r="D1523" s="1" t="s">
        <v>27</v>
      </c>
      <c r="E1523" s="1">
        <v>310</v>
      </c>
    </row>
    <row r="1524" spans="1:6" x14ac:dyDescent="0.2">
      <c r="A1524" s="205">
        <v>0.52060185185185182</v>
      </c>
      <c r="B1524" s="1" t="s">
        <v>1130</v>
      </c>
      <c r="C1524" s="1">
        <v>120</v>
      </c>
      <c r="D1524" s="1" t="s">
        <v>27</v>
      </c>
      <c r="E1524" s="1">
        <v>315</v>
      </c>
    </row>
    <row r="1525" spans="1:6" x14ac:dyDescent="0.2">
      <c r="A1525" s="205">
        <v>0.52151620370370366</v>
      </c>
      <c r="B1525" s="1" t="s">
        <v>1115</v>
      </c>
      <c r="C1525" s="1">
        <v>105</v>
      </c>
      <c r="D1525" s="1" t="s">
        <v>31</v>
      </c>
      <c r="E1525" s="1">
        <v>200</v>
      </c>
    </row>
    <row r="1526" spans="1:6" x14ac:dyDescent="0.2">
      <c r="A1526" s="205">
        <v>0.52231481481481479</v>
      </c>
      <c r="B1526" s="1" t="s">
        <v>1120</v>
      </c>
      <c r="C1526" s="1">
        <v>93</v>
      </c>
      <c r="D1526" s="1" t="s">
        <v>31</v>
      </c>
      <c r="E1526" s="1">
        <v>220</v>
      </c>
    </row>
    <row r="1527" spans="1:6" x14ac:dyDescent="0.2">
      <c r="A1527" s="205">
        <v>0.52328703703703705</v>
      </c>
      <c r="B1527" s="1" t="s">
        <v>1118</v>
      </c>
      <c r="C1527" s="1">
        <v>93</v>
      </c>
      <c r="D1527" s="1" t="s">
        <v>31</v>
      </c>
      <c r="E1527" s="1">
        <v>250</v>
      </c>
    </row>
    <row r="1528" spans="1:6" x14ac:dyDescent="0.2">
      <c r="A1528" s="205">
        <v>0.52402777777777776</v>
      </c>
      <c r="B1528" s="1" t="s">
        <v>1128</v>
      </c>
      <c r="C1528" s="1">
        <v>83</v>
      </c>
      <c r="D1528" s="1" t="s">
        <v>31</v>
      </c>
      <c r="E1528" s="1">
        <v>262.5</v>
      </c>
    </row>
    <row r="1529" spans="1:6" x14ac:dyDescent="0.2">
      <c r="A1529" s="205">
        <v>0.52496527777777779</v>
      </c>
      <c r="B1529" s="1" t="s">
        <v>1119</v>
      </c>
      <c r="C1529" s="1">
        <v>93</v>
      </c>
      <c r="D1529" s="1" t="s">
        <v>31</v>
      </c>
      <c r="E1529" s="1">
        <v>305</v>
      </c>
    </row>
    <row r="1530" spans="1:6" x14ac:dyDescent="0.2">
      <c r="A1530" s="205">
        <v>0.52601851851851855</v>
      </c>
      <c r="B1530" s="1" t="s">
        <v>1123</v>
      </c>
      <c r="C1530" s="1">
        <v>120</v>
      </c>
      <c r="D1530" s="1" t="s">
        <v>31</v>
      </c>
      <c r="E1530" s="1">
        <v>315</v>
      </c>
    </row>
    <row r="1531" spans="1:6" x14ac:dyDescent="0.2">
      <c r="A1531" s="205">
        <v>0.52692129629629625</v>
      </c>
      <c r="B1531" s="1" t="s">
        <v>1122</v>
      </c>
      <c r="C1531" s="1">
        <v>120</v>
      </c>
      <c r="D1531" s="1" t="s">
        <v>31</v>
      </c>
      <c r="E1531" s="1">
        <v>320</v>
      </c>
    </row>
    <row r="1532" spans="1:6" x14ac:dyDescent="0.2">
      <c r="A1532" s="205">
        <v>0.52771990740740737</v>
      </c>
      <c r="B1532" s="1" t="s">
        <v>1130</v>
      </c>
      <c r="C1532" s="1">
        <v>120</v>
      </c>
      <c r="D1532" s="1" t="s">
        <v>31</v>
      </c>
      <c r="E1532" s="1">
        <v>-325</v>
      </c>
      <c r="F1532" s="1">
        <v>840</v>
      </c>
    </row>
    <row r="1533" spans="1:6" x14ac:dyDescent="0.2">
      <c r="A1533" s="205">
        <v>0.52890046296296289</v>
      </c>
      <c r="B1533" s="1" t="s">
        <v>1115</v>
      </c>
      <c r="C1533" s="1">
        <v>105</v>
      </c>
      <c r="D1533" s="1" t="s">
        <v>35</v>
      </c>
      <c r="E1533" s="1">
        <v>212.5</v>
      </c>
    </row>
    <row r="1534" spans="1:6" x14ac:dyDescent="0.2">
      <c r="A1534" s="205">
        <v>0.52967592592592594</v>
      </c>
      <c r="B1534" s="1" t="s">
        <v>1120</v>
      </c>
      <c r="C1534" s="1">
        <v>93</v>
      </c>
      <c r="D1534" s="1" t="s">
        <v>35</v>
      </c>
      <c r="E1534" s="1">
        <v>235</v>
      </c>
    </row>
    <row r="1535" spans="1:6" x14ac:dyDescent="0.2">
      <c r="A1535" s="205">
        <v>0.53068287037037043</v>
      </c>
      <c r="B1535" s="1" t="s">
        <v>1118</v>
      </c>
      <c r="C1535" s="1">
        <v>93</v>
      </c>
      <c r="D1535" s="1" t="s">
        <v>35</v>
      </c>
      <c r="E1535" s="1">
        <v>260</v>
      </c>
    </row>
    <row r="1536" spans="1:6" x14ac:dyDescent="0.2">
      <c r="A1536" s="205">
        <v>0.53159722222222217</v>
      </c>
      <c r="B1536" s="1" t="s">
        <v>1128</v>
      </c>
      <c r="C1536" s="1">
        <v>83</v>
      </c>
      <c r="D1536" s="1" t="s">
        <v>35</v>
      </c>
      <c r="E1536" s="1">
        <v>-270</v>
      </c>
      <c r="F1536" s="1">
        <v>650</v>
      </c>
    </row>
    <row r="1537" spans="1:6" x14ac:dyDescent="0.2">
      <c r="A1537" s="205">
        <v>0.53427083333333336</v>
      </c>
      <c r="B1537" s="1" t="s">
        <v>1123</v>
      </c>
      <c r="C1537" s="1">
        <v>120</v>
      </c>
      <c r="D1537" s="1" t="s">
        <v>35</v>
      </c>
      <c r="E1537" s="1">
        <v>-325</v>
      </c>
      <c r="F1537" s="1">
        <v>825</v>
      </c>
    </row>
    <row r="1538" spans="1:6" x14ac:dyDescent="0.2">
      <c r="A1538" s="205">
        <v>0.53484953703703708</v>
      </c>
      <c r="B1538" s="1" t="s">
        <v>1130</v>
      </c>
      <c r="C1538" s="1">
        <v>120</v>
      </c>
      <c r="D1538" s="1" t="s">
        <v>35</v>
      </c>
      <c r="E1538" s="1">
        <v>325</v>
      </c>
    </row>
    <row r="1539" spans="1:6" x14ac:dyDescent="0.2">
      <c r="A1539" s="205">
        <v>0.5357291666666667</v>
      </c>
      <c r="B1539" s="1" t="s">
        <v>1122</v>
      </c>
      <c r="C1539" s="1">
        <v>120</v>
      </c>
      <c r="D1539" s="1" t="s">
        <v>35</v>
      </c>
      <c r="E1539" s="1">
        <v>-327.5</v>
      </c>
      <c r="F1539" s="1">
        <v>807.5</v>
      </c>
    </row>
    <row r="1540" spans="1:6" x14ac:dyDescent="0.2">
      <c r="A1540" s="205">
        <v>0.53659722222222228</v>
      </c>
      <c r="B1540" s="1" t="s">
        <v>1119</v>
      </c>
      <c r="C1540" s="1">
        <v>93</v>
      </c>
      <c r="D1540" s="1" t="s">
        <v>35</v>
      </c>
      <c r="E1540" s="1">
        <v>-325</v>
      </c>
      <c r="F1540" s="1">
        <v>715</v>
      </c>
    </row>
    <row r="1541" spans="1:6" x14ac:dyDescent="0.2">
      <c r="A1541" s="205">
        <v>0.54021990740740744</v>
      </c>
      <c r="B1541" s="1" t="s">
        <v>1125</v>
      </c>
      <c r="C1541" s="1">
        <v>66</v>
      </c>
      <c r="D1541" s="1" t="s">
        <v>29</v>
      </c>
      <c r="E1541" s="1">
        <v>70</v>
      </c>
    </row>
    <row r="1542" spans="1:6" x14ac:dyDescent="0.2">
      <c r="A1542" s="205">
        <v>0.54100694444444442</v>
      </c>
      <c r="B1542" s="1" t="s">
        <v>1103</v>
      </c>
      <c r="C1542" s="1">
        <v>59</v>
      </c>
      <c r="D1542" s="1" t="s">
        <v>29</v>
      </c>
      <c r="E1542" s="1">
        <v>107.5</v>
      </c>
    </row>
    <row r="1543" spans="1:6" x14ac:dyDescent="0.2">
      <c r="A1543" s="205">
        <v>0.54206018518518517</v>
      </c>
      <c r="B1543" s="1" t="s">
        <v>1109</v>
      </c>
      <c r="C1543" s="1">
        <v>74</v>
      </c>
      <c r="D1543" s="1" t="s">
        <v>29</v>
      </c>
      <c r="E1543" s="1">
        <v>145</v>
      </c>
    </row>
    <row r="1544" spans="1:6" x14ac:dyDescent="0.2">
      <c r="A1544" s="205">
        <v>0.54274305555555558</v>
      </c>
      <c r="B1544" s="1" t="s">
        <v>1104</v>
      </c>
      <c r="C1544" s="1">
        <v>66</v>
      </c>
      <c r="D1544" s="1" t="s">
        <v>29</v>
      </c>
      <c r="E1544" s="1">
        <v>150</v>
      </c>
    </row>
    <row r="1545" spans="1:6" x14ac:dyDescent="0.2">
      <c r="A1545" s="205">
        <v>0.54340277777777779</v>
      </c>
      <c r="B1545" s="1" t="s">
        <v>1105</v>
      </c>
      <c r="C1545" s="1">
        <v>66</v>
      </c>
      <c r="D1545" s="1" t="s">
        <v>29</v>
      </c>
      <c r="E1545" s="1">
        <v>-155</v>
      </c>
    </row>
    <row r="1546" spans="1:6" x14ac:dyDescent="0.2">
      <c r="A1546" s="205">
        <v>0.54435185185185186</v>
      </c>
      <c r="B1546" s="1" t="s">
        <v>1108</v>
      </c>
      <c r="C1546" s="1">
        <v>74</v>
      </c>
      <c r="D1546" s="1" t="s">
        <v>29</v>
      </c>
      <c r="E1546" s="1">
        <v>-165</v>
      </c>
    </row>
    <row r="1547" spans="1:6" x14ac:dyDescent="0.2">
      <c r="A1547" s="205">
        <v>0.54554398148148142</v>
      </c>
      <c r="B1547" s="1" t="s">
        <v>1126</v>
      </c>
      <c r="C1547" s="1">
        <v>74</v>
      </c>
      <c r="D1547" s="1" t="s">
        <v>29</v>
      </c>
      <c r="E1547" s="1">
        <v>-205</v>
      </c>
    </row>
    <row r="1548" spans="1:6" x14ac:dyDescent="0.2">
      <c r="A1548" s="205">
        <v>0.54634259259259255</v>
      </c>
      <c r="B1548" s="1" t="s">
        <v>1107</v>
      </c>
      <c r="C1548" s="1">
        <v>74</v>
      </c>
      <c r="D1548" s="1" t="s">
        <v>29</v>
      </c>
      <c r="E1548" s="1">
        <v>217.5</v>
      </c>
    </row>
    <row r="1549" spans="1:6" x14ac:dyDescent="0.2">
      <c r="A1549" s="205">
        <v>0.5470949074074074</v>
      </c>
      <c r="B1549" s="1" t="s">
        <v>1125</v>
      </c>
      <c r="C1549" s="1">
        <v>66</v>
      </c>
      <c r="D1549" s="1" t="s">
        <v>33</v>
      </c>
      <c r="E1549" s="1">
        <v>75</v>
      </c>
    </row>
    <row r="1550" spans="1:6" x14ac:dyDescent="0.2">
      <c r="A1550" s="205">
        <v>0.54777777777777781</v>
      </c>
      <c r="B1550" s="1" t="s">
        <v>1103</v>
      </c>
      <c r="C1550" s="1">
        <v>59</v>
      </c>
      <c r="D1550" s="1" t="s">
        <v>33</v>
      </c>
      <c r="E1550" s="1">
        <v>112.5</v>
      </c>
    </row>
    <row r="1551" spans="1:6" x14ac:dyDescent="0.2">
      <c r="A1551" s="205">
        <v>0.54853009259259256</v>
      </c>
      <c r="B1551" s="1" t="s">
        <v>1109</v>
      </c>
      <c r="C1551" s="1">
        <v>74</v>
      </c>
      <c r="D1551" s="1" t="s">
        <v>33</v>
      </c>
      <c r="E1551" s="1">
        <v>-152.5</v>
      </c>
      <c r="F1551" s="1">
        <v>597.5</v>
      </c>
    </row>
    <row r="1552" spans="1:6" x14ac:dyDescent="0.2">
      <c r="A1552" s="205">
        <v>0.54917824074074073</v>
      </c>
      <c r="B1552" s="1" t="s">
        <v>1105</v>
      </c>
      <c r="C1552" s="1">
        <v>66</v>
      </c>
      <c r="D1552" s="1" t="s">
        <v>33</v>
      </c>
      <c r="E1552" s="1">
        <v>155</v>
      </c>
    </row>
    <row r="1553" spans="1:6" x14ac:dyDescent="0.2">
      <c r="A1553" s="205">
        <v>0.55002314814814812</v>
      </c>
      <c r="B1553" s="1" t="s">
        <v>1108</v>
      </c>
      <c r="C1553" s="1">
        <v>74</v>
      </c>
      <c r="D1553" s="1" t="s">
        <v>33</v>
      </c>
      <c r="E1553" s="1">
        <v>165</v>
      </c>
    </row>
    <row r="1554" spans="1:6" x14ac:dyDescent="0.2">
      <c r="A1554" s="205">
        <v>0.55098379629629635</v>
      </c>
      <c r="B1554" s="1" t="s">
        <v>1104</v>
      </c>
      <c r="C1554" s="1">
        <v>66</v>
      </c>
      <c r="D1554" s="1" t="s">
        <v>33</v>
      </c>
      <c r="E1554" s="1">
        <v>-175</v>
      </c>
      <c r="F1554" s="1">
        <v>595</v>
      </c>
    </row>
    <row r="1555" spans="1:6" x14ac:dyDescent="0.2">
      <c r="A1555" s="205">
        <v>0.55209490740740741</v>
      </c>
      <c r="B1555" s="1" t="s">
        <v>1126</v>
      </c>
      <c r="C1555" s="1">
        <v>74</v>
      </c>
      <c r="D1555" s="1" t="s">
        <v>33</v>
      </c>
      <c r="E1555" s="1">
        <v>-205</v>
      </c>
    </row>
    <row r="1556" spans="1:6" x14ac:dyDescent="0.2">
      <c r="A1556" s="205">
        <v>0.55312499999999998</v>
      </c>
      <c r="B1556" s="1" t="s">
        <v>1107</v>
      </c>
      <c r="C1556" s="1">
        <v>74</v>
      </c>
      <c r="D1556" s="1" t="s">
        <v>33</v>
      </c>
      <c r="E1556" s="1">
        <v>222.5</v>
      </c>
    </row>
    <row r="1557" spans="1:6" x14ac:dyDescent="0.2">
      <c r="A1557" s="205">
        <v>0.55390046296296302</v>
      </c>
      <c r="B1557" s="1" t="s">
        <v>1125</v>
      </c>
      <c r="C1557" s="1">
        <v>66</v>
      </c>
      <c r="D1557" s="1" t="s">
        <v>37</v>
      </c>
      <c r="E1557" s="1">
        <v>-77.5</v>
      </c>
      <c r="F1557" s="1">
        <v>305</v>
      </c>
    </row>
    <row r="1558" spans="1:6" x14ac:dyDescent="0.2">
      <c r="A1558" s="205">
        <v>0.55461805555555554</v>
      </c>
      <c r="B1558" s="1" t="s">
        <v>1103</v>
      </c>
      <c r="C1558" s="1">
        <v>59</v>
      </c>
      <c r="D1558" s="1" t="s">
        <v>37</v>
      </c>
      <c r="E1558" s="1">
        <v>-115</v>
      </c>
      <c r="F1558" s="1">
        <v>402.5</v>
      </c>
    </row>
    <row r="1559" spans="1:6" x14ac:dyDescent="0.2">
      <c r="A1559" s="205">
        <v>0.55548611111111112</v>
      </c>
      <c r="B1559" s="1" t="s">
        <v>1109</v>
      </c>
      <c r="C1559" s="1">
        <v>74</v>
      </c>
      <c r="D1559" s="1" t="s">
        <v>37</v>
      </c>
      <c r="E1559" s="1">
        <v>-157.5</v>
      </c>
      <c r="F1559" s="1">
        <v>597.5</v>
      </c>
    </row>
    <row r="1560" spans="1:6" x14ac:dyDescent="0.2">
      <c r="A1560" s="205">
        <v>0.55620370370370364</v>
      </c>
      <c r="B1560" s="1" t="s">
        <v>1105</v>
      </c>
      <c r="C1560" s="1">
        <v>66</v>
      </c>
      <c r="D1560" s="1" t="s">
        <v>37</v>
      </c>
      <c r="E1560" s="1">
        <v>162.5</v>
      </c>
    </row>
    <row r="1561" spans="1:6" x14ac:dyDescent="0.2">
      <c r="A1561" s="205">
        <v>0.55739583333333331</v>
      </c>
      <c r="B1561" s="1" t="s">
        <v>1108</v>
      </c>
      <c r="C1561" s="1">
        <v>74</v>
      </c>
      <c r="D1561" s="1" t="s">
        <v>37</v>
      </c>
      <c r="E1561" s="1">
        <v>-172.5</v>
      </c>
      <c r="F1561" s="1">
        <v>610</v>
      </c>
    </row>
    <row r="1562" spans="1:6" x14ac:dyDescent="0.2">
      <c r="A1562" s="205">
        <v>0.55827546296296293</v>
      </c>
      <c r="B1562" s="1" t="s">
        <v>1104</v>
      </c>
      <c r="C1562" s="1">
        <v>66</v>
      </c>
      <c r="D1562" s="1" t="s">
        <v>37</v>
      </c>
      <c r="E1562" s="1">
        <v>175</v>
      </c>
    </row>
    <row r="1563" spans="1:6" x14ac:dyDescent="0.2">
      <c r="A1563" s="205">
        <v>0.55924768518518519</v>
      </c>
      <c r="B1563" s="1" t="s">
        <v>1126</v>
      </c>
      <c r="C1563" s="1">
        <v>74</v>
      </c>
      <c r="D1563" s="1" t="s">
        <v>37</v>
      </c>
      <c r="E1563" s="1">
        <v>-205</v>
      </c>
    </row>
    <row r="1564" spans="1:6" x14ac:dyDescent="0.2">
      <c r="A1564" s="205">
        <v>0.56002314814814813</v>
      </c>
      <c r="B1564" s="1" t="s">
        <v>1107</v>
      </c>
      <c r="C1564" s="1">
        <v>74</v>
      </c>
      <c r="D1564" s="1" t="s">
        <v>37</v>
      </c>
      <c r="E1564" s="1">
        <v>-227.5</v>
      </c>
      <c r="F1564" s="1">
        <v>782.5</v>
      </c>
    </row>
    <row r="1565" spans="1:6" x14ac:dyDescent="0.2">
      <c r="A1565" s="205">
        <v>0.56178240740740737</v>
      </c>
      <c r="B1565" s="1" t="s">
        <v>1111</v>
      </c>
      <c r="C1565" s="1">
        <v>83</v>
      </c>
      <c r="D1565" s="1" t="s">
        <v>29</v>
      </c>
      <c r="E1565" s="1">
        <v>80</v>
      </c>
    </row>
    <row r="1566" spans="1:6" x14ac:dyDescent="0.2">
      <c r="A1566" s="205">
        <v>0.56278935185185186</v>
      </c>
      <c r="B1566" s="1" t="s">
        <v>1127</v>
      </c>
      <c r="C1566" s="1">
        <v>83</v>
      </c>
      <c r="D1566" s="1" t="s">
        <v>29</v>
      </c>
      <c r="E1566" s="1">
        <v>100</v>
      </c>
    </row>
    <row r="1567" spans="1:6" x14ac:dyDescent="0.2">
      <c r="A1567" s="205">
        <v>0.56371527777777775</v>
      </c>
      <c r="B1567" s="1" t="s">
        <v>1129</v>
      </c>
      <c r="C1567" s="1">
        <v>105</v>
      </c>
      <c r="D1567" s="1" t="s">
        <v>29</v>
      </c>
      <c r="E1567" s="1">
        <v>142.5</v>
      </c>
    </row>
    <row r="1568" spans="1:6" x14ac:dyDescent="0.2">
      <c r="A1568" s="205">
        <v>0.56449074074074079</v>
      </c>
      <c r="B1568" s="1" t="s">
        <v>1110</v>
      </c>
      <c r="C1568" s="1">
        <v>83</v>
      </c>
      <c r="D1568" s="1" t="s">
        <v>29</v>
      </c>
      <c r="E1568" s="1">
        <v>147.5</v>
      </c>
    </row>
    <row r="1569" spans="1:6" x14ac:dyDescent="0.2">
      <c r="A1569" s="205">
        <v>0.56546296296296295</v>
      </c>
      <c r="B1569" s="1" t="s">
        <v>1112</v>
      </c>
      <c r="C1569" s="1">
        <v>83</v>
      </c>
      <c r="D1569" s="1" t="s">
        <v>29</v>
      </c>
      <c r="E1569" s="1">
        <v>185</v>
      </c>
    </row>
    <row r="1570" spans="1:6" x14ac:dyDescent="0.2">
      <c r="A1570" s="205">
        <v>0.56636574074074075</v>
      </c>
      <c r="B1570" s="1" t="s">
        <v>1114</v>
      </c>
      <c r="C1570" s="1">
        <v>83</v>
      </c>
      <c r="D1570" s="1" t="s">
        <v>29</v>
      </c>
      <c r="E1570" s="1">
        <v>200</v>
      </c>
    </row>
    <row r="1571" spans="1:6" x14ac:dyDescent="0.2">
      <c r="A1571" s="205">
        <v>0.56767361111111114</v>
      </c>
      <c r="B1571" s="1" t="s">
        <v>1113</v>
      </c>
      <c r="C1571" s="1">
        <v>83</v>
      </c>
      <c r="D1571" s="1" t="s">
        <v>29</v>
      </c>
      <c r="E1571" s="1">
        <v>220</v>
      </c>
    </row>
    <row r="1572" spans="1:6" x14ac:dyDescent="0.2">
      <c r="A1572" s="205">
        <v>0.56865740740740744</v>
      </c>
      <c r="B1572" s="1" t="s">
        <v>1117</v>
      </c>
      <c r="C1572" s="1">
        <v>105</v>
      </c>
      <c r="D1572" s="1" t="s">
        <v>29</v>
      </c>
      <c r="E1572" s="1">
        <v>-220</v>
      </c>
    </row>
    <row r="1573" spans="1:6" x14ac:dyDescent="0.2">
      <c r="A1573" s="205">
        <v>0.56974537037037043</v>
      </c>
      <c r="B1573" s="1" t="s">
        <v>1116</v>
      </c>
      <c r="C1573" s="1">
        <v>105</v>
      </c>
      <c r="D1573" s="1" t="s">
        <v>29</v>
      </c>
      <c r="E1573" s="1">
        <v>260</v>
      </c>
    </row>
    <row r="1574" spans="1:6" x14ac:dyDescent="0.2">
      <c r="A1574" s="205">
        <v>0.57086805555555553</v>
      </c>
      <c r="B1574" s="1" t="s">
        <v>1127</v>
      </c>
      <c r="C1574" s="1">
        <v>83</v>
      </c>
      <c r="D1574" s="1" t="s">
        <v>33</v>
      </c>
      <c r="E1574" s="1">
        <v>105</v>
      </c>
    </row>
    <row r="1575" spans="1:6" x14ac:dyDescent="0.2">
      <c r="A1575" s="205">
        <v>0.5716782407407407</v>
      </c>
      <c r="B1575" s="1" t="s">
        <v>1111</v>
      </c>
      <c r="C1575" s="1">
        <v>83</v>
      </c>
      <c r="D1575" s="1" t="s">
        <v>33</v>
      </c>
      <c r="E1575" s="1">
        <v>-125</v>
      </c>
      <c r="F1575" s="1">
        <v>505</v>
      </c>
    </row>
    <row r="1576" spans="1:6" x14ac:dyDescent="0.2">
      <c r="A1576" s="205">
        <v>0.5727430555555556</v>
      </c>
      <c r="B1576" s="1" t="s">
        <v>1129</v>
      </c>
      <c r="C1576" s="1">
        <v>105</v>
      </c>
      <c r="D1576" s="1" t="s">
        <v>33</v>
      </c>
      <c r="E1576" s="1">
        <v>-150</v>
      </c>
      <c r="F1576" s="1">
        <v>635</v>
      </c>
    </row>
    <row r="1577" spans="1:6" x14ac:dyDescent="0.2">
      <c r="A1577" s="205">
        <v>0.57353009259259258</v>
      </c>
      <c r="B1577" s="1" t="s">
        <v>1110</v>
      </c>
      <c r="C1577" s="1">
        <v>83</v>
      </c>
      <c r="D1577" s="1" t="s">
        <v>33</v>
      </c>
      <c r="E1577" s="1">
        <v>152.5</v>
      </c>
    </row>
    <row r="1578" spans="1:6" x14ac:dyDescent="0.2">
      <c r="A1578" s="205">
        <v>0.57444444444444442</v>
      </c>
      <c r="B1578" s="1" t="s">
        <v>1112</v>
      </c>
      <c r="C1578" s="1">
        <v>83</v>
      </c>
      <c r="D1578" s="1" t="s">
        <v>33</v>
      </c>
      <c r="E1578" s="1">
        <v>195</v>
      </c>
    </row>
    <row r="1579" spans="1:6" x14ac:dyDescent="0.2">
      <c r="A1579" s="205">
        <v>0.57530092592592597</v>
      </c>
      <c r="B1579" s="1" t="s">
        <v>1114</v>
      </c>
      <c r="C1579" s="1">
        <v>83</v>
      </c>
      <c r="D1579" s="1" t="s">
        <v>33</v>
      </c>
      <c r="E1579" s="1">
        <v>207.5</v>
      </c>
    </row>
    <row r="1580" spans="1:6" x14ac:dyDescent="0.2">
      <c r="A1580" s="205">
        <v>0.57601851851851849</v>
      </c>
      <c r="B1580" s="1" t="s">
        <v>1117</v>
      </c>
      <c r="C1580" s="1">
        <v>105</v>
      </c>
      <c r="D1580" s="1" t="s">
        <v>33</v>
      </c>
      <c r="E1580" s="1">
        <v>220</v>
      </c>
    </row>
    <row r="1581" spans="1:6" x14ac:dyDescent="0.2">
      <c r="A1581" s="205">
        <v>0.57696759259259256</v>
      </c>
      <c r="B1581" s="1" t="s">
        <v>1113</v>
      </c>
      <c r="C1581" s="1">
        <v>83</v>
      </c>
      <c r="D1581" s="1" t="s">
        <v>33</v>
      </c>
      <c r="E1581" s="1">
        <v>240</v>
      </c>
    </row>
    <row r="1582" spans="1:6" x14ac:dyDescent="0.2">
      <c r="A1582" s="205">
        <v>0.57797453703703705</v>
      </c>
      <c r="B1582" s="1" t="s">
        <v>1116</v>
      </c>
      <c r="C1582" s="1">
        <v>105</v>
      </c>
      <c r="D1582" s="1" t="s">
        <v>33</v>
      </c>
      <c r="E1582" s="1">
        <v>270</v>
      </c>
    </row>
    <row r="1583" spans="1:6" x14ac:dyDescent="0.2">
      <c r="A1583" s="205">
        <v>0.57899305555555558</v>
      </c>
      <c r="B1583" s="1" t="s">
        <v>1127</v>
      </c>
      <c r="C1583" s="1">
        <v>83</v>
      </c>
      <c r="D1583" s="1" t="s">
        <v>37</v>
      </c>
      <c r="E1583" s="1">
        <v>107.5</v>
      </c>
    </row>
    <row r="1584" spans="1:6" x14ac:dyDescent="0.2">
      <c r="A1584" s="205">
        <v>0.57974537037037044</v>
      </c>
      <c r="B1584" s="1" t="s">
        <v>1111</v>
      </c>
      <c r="C1584" s="1">
        <v>83</v>
      </c>
      <c r="D1584" s="1" t="s">
        <v>37</v>
      </c>
      <c r="E1584" s="1">
        <v>-130</v>
      </c>
      <c r="F1584" s="1">
        <v>505</v>
      </c>
    </row>
    <row r="1585" spans="1:6" x14ac:dyDescent="0.2">
      <c r="A1585" s="205">
        <v>0.58071759259259259</v>
      </c>
      <c r="B1585" s="1" t="s">
        <v>1129</v>
      </c>
      <c r="C1585" s="1">
        <v>105</v>
      </c>
      <c r="D1585" s="1" t="s">
        <v>37</v>
      </c>
      <c r="E1585" s="1">
        <v>152.5</v>
      </c>
    </row>
    <row r="1586" spans="1:6" x14ac:dyDescent="0.2">
      <c r="A1586" s="205">
        <v>0.58155092592592594</v>
      </c>
      <c r="B1586" s="1" t="s">
        <v>1110</v>
      </c>
      <c r="C1586" s="1">
        <v>83</v>
      </c>
      <c r="D1586" s="1" t="s">
        <v>37</v>
      </c>
      <c r="E1586" s="1">
        <v>-155</v>
      </c>
      <c r="F1586" s="1">
        <v>502.5</v>
      </c>
    </row>
    <row r="1587" spans="1:6" x14ac:dyDescent="0.2">
      <c r="A1587" s="205">
        <v>0.58254629629629628</v>
      </c>
      <c r="B1587" s="1" t="s">
        <v>1112</v>
      </c>
      <c r="C1587" s="1">
        <v>83</v>
      </c>
      <c r="D1587" s="1" t="s">
        <v>37</v>
      </c>
      <c r="E1587" s="1">
        <v>202.5</v>
      </c>
    </row>
    <row r="1588" spans="1:6" x14ac:dyDescent="0.2">
      <c r="A1588" s="205">
        <v>0.58340277777777783</v>
      </c>
      <c r="B1588" s="1" t="s">
        <v>1114</v>
      </c>
      <c r="C1588" s="1">
        <v>83</v>
      </c>
      <c r="D1588" s="1" t="s">
        <v>37</v>
      </c>
      <c r="E1588" s="1">
        <v>-212.5</v>
      </c>
      <c r="F1588" s="1">
        <v>680</v>
      </c>
    </row>
    <row r="1589" spans="1:6" x14ac:dyDescent="0.2">
      <c r="A1589" s="205">
        <v>0.58425925925925926</v>
      </c>
      <c r="B1589" s="1" t="s">
        <v>1117</v>
      </c>
      <c r="C1589" s="1">
        <v>105</v>
      </c>
      <c r="D1589" s="1" t="s">
        <v>37</v>
      </c>
      <c r="E1589" s="1">
        <v>-240</v>
      </c>
      <c r="F1589" s="1">
        <v>808</v>
      </c>
    </row>
    <row r="1590" spans="1:6" x14ac:dyDescent="0.2">
      <c r="A1590" s="205">
        <v>0.58535879629629628</v>
      </c>
      <c r="B1590" s="1" t="s">
        <v>1113</v>
      </c>
      <c r="C1590" s="1">
        <v>83</v>
      </c>
      <c r="D1590" s="1" t="s">
        <v>37</v>
      </c>
      <c r="E1590" s="1">
        <v>-250</v>
      </c>
      <c r="F1590" s="1">
        <v>810</v>
      </c>
    </row>
    <row r="1591" spans="1:6" x14ac:dyDescent="0.2">
      <c r="A1591" s="205">
        <v>0.58626157407407409</v>
      </c>
      <c r="B1591" s="1" t="s">
        <v>1116</v>
      </c>
      <c r="C1591" s="1">
        <v>105</v>
      </c>
      <c r="D1591" s="1" t="s">
        <v>37</v>
      </c>
      <c r="E1591" s="1">
        <v>-275</v>
      </c>
      <c r="F1591" s="1">
        <v>890</v>
      </c>
    </row>
    <row r="1592" spans="1:6" x14ac:dyDescent="0.2">
      <c r="A1592" s="205">
        <v>0.58744212962962961</v>
      </c>
      <c r="B1592" s="1" t="s">
        <v>1115</v>
      </c>
      <c r="C1592" s="1">
        <v>105</v>
      </c>
      <c r="D1592" s="1" t="s">
        <v>29</v>
      </c>
      <c r="E1592" s="1">
        <v>125</v>
      </c>
    </row>
    <row r="1593" spans="1:6" x14ac:dyDescent="0.2">
      <c r="A1593" s="205">
        <v>0.58819444444444446</v>
      </c>
      <c r="B1593" s="1" t="s">
        <v>1119</v>
      </c>
      <c r="C1593" s="1">
        <v>93</v>
      </c>
      <c r="D1593" s="1" t="s">
        <v>29</v>
      </c>
      <c r="E1593" s="1">
        <v>160</v>
      </c>
    </row>
    <row r="1594" spans="1:6" x14ac:dyDescent="0.2">
      <c r="A1594" s="205">
        <v>0.58883101851851849</v>
      </c>
      <c r="B1594" s="1" t="s">
        <v>1120</v>
      </c>
      <c r="C1594" s="1">
        <v>93</v>
      </c>
      <c r="D1594" s="1" t="s">
        <v>29</v>
      </c>
      <c r="E1594" s="1">
        <v>165</v>
      </c>
    </row>
    <row r="1595" spans="1:6" x14ac:dyDescent="0.2">
      <c r="A1595" s="205">
        <v>0.58960648148148154</v>
      </c>
      <c r="B1595" s="1" t="s">
        <v>1128</v>
      </c>
      <c r="C1595" s="1">
        <v>83</v>
      </c>
      <c r="D1595" s="1" t="s">
        <v>29</v>
      </c>
      <c r="E1595" s="1">
        <v>170</v>
      </c>
    </row>
    <row r="1596" spans="1:6" x14ac:dyDescent="0.2">
      <c r="A1596" s="205">
        <v>0.59048611111111116</v>
      </c>
      <c r="B1596" s="1" t="s">
        <v>1118</v>
      </c>
      <c r="C1596" s="1">
        <v>93</v>
      </c>
      <c r="D1596" s="1" t="s">
        <v>29</v>
      </c>
      <c r="E1596" s="1">
        <v>170</v>
      </c>
    </row>
    <row r="1597" spans="1:6" x14ac:dyDescent="0.2">
      <c r="A1597" s="205">
        <v>0.59144675925925927</v>
      </c>
      <c r="B1597" s="1" t="s">
        <v>1122</v>
      </c>
      <c r="C1597" s="1">
        <v>120</v>
      </c>
      <c r="D1597" s="1" t="s">
        <v>29</v>
      </c>
      <c r="E1597" s="1">
        <v>-217.5</v>
      </c>
    </row>
    <row r="1598" spans="1:6" x14ac:dyDescent="0.2">
      <c r="A1598" s="205">
        <v>0.59240740740740738</v>
      </c>
      <c r="B1598" s="1" t="s">
        <v>1123</v>
      </c>
      <c r="C1598" s="1">
        <v>120</v>
      </c>
      <c r="D1598" s="1" t="s">
        <v>29</v>
      </c>
      <c r="E1598" s="1">
        <v>-270</v>
      </c>
    </row>
    <row r="1599" spans="1:6" x14ac:dyDescent="0.2">
      <c r="A1599" s="205">
        <v>0.59331018518518519</v>
      </c>
      <c r="B1599" s="1" t="s">
        <v>1130</v>
      </c>
      <c r="C1599" s="1">
        <v>120</v>
      </c>
      <c r="D1599" s="1" t="s">
        <v>29</v>
      </c>
      <c r="E1599" s="1">
        <v>290</v>
      </c>
    </row>
    <row r="1600" spans="1:6" x14ac:dyDescent="0.2">
      <c r="A1600" s="205">
        <v>0.59401620370370367</v>
      </c>
      <c r="B1600" s="1" t="s">
        <v>1115</v>
      </c>
      <c r="C1600" s="1">
        <v>105</v>
      </c>
      <c r="D1600" s="1" t="s">
        <v>33</v>
      </c>
      <c r="E1600" s="1">
        <v>132.5</v>
      </c>
    </row>
    <row r="1601" spans="1:6" x14ac:dyDescent="0.2">
      <c r="A1601" s="205">
        <v>0.59464120370370377</v>
      </c>
      <c r="B1601" s="1" t="s">
        <v>1120</v>
      </c>
      <c r="C1601" s="1">
        <v>93</v>
      </c>
      <c r="D1601" s="1" t="s">
        <v>33</v>
      </c>
      <c r="E1601" s="1">
        <v>-175</v>
      </c>
      <c r="F1601" s="1">
        <v>600</v>
      </c>
    </row>
    <row r="1602" spans="1:6" x14ac:dyDescent="0.2">
      <c r="A1602" s="205">
        <v>0.59535879629629629</v>
      </c>
      <c r="B1602" s="1" t="s">
        <v>1118</v>
      </c>
      <c r="C1602" s="1">
        <v>93</v>
      </c>
      <c r="D1602" s="1" t="s">
        <v>33</v>
      </c>
      <c r="E1602" s="1">
        <v>175</v>
      </c>
    </row>
    <row r="1603" spans="1:6" x14ac:dyDescent="0.2">
      <c r="A1603" s="205">
        <v>0.59594907407407405</v>
      </c>
      <c r="B1603" s="1" t="s">
        <v>1119</v>
      </c>
      <c r="C1603" s="1">
        <v>93</v>
      </c>
      <c r="D1603" s="1" t="s">
        <v>33</v>
      </c>
      <c r="E1603" s="1">
        <v>185</v>
      </c>
    </row>
    <row r="1604" spans="1:6" x14ac:dyDescent="0.2">
      <c r="A1604" s="205">
        <v>0.59671296296296295</v>
      </c>
      <c r="B1604" s="1" t="s">
        <v>1128</v>
      </c>
      <c r="C1604" s="1">
        <v>83</v>
      </c>
      <c r="D1604" s="1" t="s">
        <v>33</v>
      </c>
      <c r="E1604" s="1">
        <v>190</v>
      </c>
    </row>
    <row r="1605" spans="1:6" x14ac:dyDescent="0.2">
      <c r="A1605" s="205">
        <v>0.5975462962962963</v>
      </c>
      <c r="B1605" s="1" t="s">
        <v>1122</v>
      </c>
      <c r="C1605" s="1">
        <v>120</v>
      </c>
      <c r="D1605" s="1" t="s">
        <v>33</v>
      </c>
      <c r="E1605" s="1">
        <v>217.5</v>
      </c>
    </row>
    <row r="1606" spans="1:6" x14ac:dyDescent="0.2">
      <c r="A1606" s="205">
        <v>0.5985300925925926</v>
      </c>
      <c r="B1606" s="1" t="s">
        <v>1123</v>
      </c>
      <c r="C1606" s="1">
        <v>120</v>
      </c>
      <c r="D1606" s="1" t="s">
        <v>33</v>
      </c>
      <c r="E1606" s="1">
        <v>-280</v>
      </c>
    </row>
    <row r="1607" spans="1:6" x14ac:dyDescent="0.2">
      <c r="A1607" s="205">
        <v>0.59938657407407414</v>
      </c>
      <c r="B1607" s="1" t="s">
        <v>1130</v>
      </c>
      <c r="C1607" s="1">
        <v>120</v>
      </c>
      <c r="D1607" s="1" t="s">
        <v>33</v>
      </c>
      <c r="E1607" s="1">
        <v>300</v>
      </c>
    </row>
    <row r="1608" spans="1:6" x14ac:dyDescent="0.2">
      <c r="A1608" s="205">
        <v>0.60012731481481485</v>
      </c>
      <c r="B1608" s="1" t="s">
        <v>1115</v>
      </c>
      <c r="C1608" s="1">
        <v>105</v>
      </c>
      <c r="D1608" s="1" t="s">
        <v>37</v>
      </c>
      <c r="E1608" s="1">
        <v>135</v>
      </c>
    </row>
    <row r="1609" spans="1:6" x14ac:dyDescent="0.2">
      <c r="A1609" s="205">
        <v>0.60084490740740737</v>
      </c>
      <c r="B1609" s="1" t="s">
        <v>1120</v>
      </c>
      <c r="C1609" s="1">
        <v>93</v>
      </c>
      <c r="D1609" s="1" t="s">
        <v>37</v>
      </c>
      <c r="E1609" s="1">
        <v>-175</v>
      </c>
      <c r="F1609" s="1">
        <v>600</v>
      </c>
    </row>
    <row r="1610" spans="1:6" x14ac:dyDescent="0.2">
      <c r="A1610" s="205">
        <v>0.60177083333333337</v>
      </c>
      <c r="B1610" s="1" t="s">
        <v>1118</v>
      </c>
      <c r="C1610" s="1">
        <v>93</v>
      </c>
      <c r="D1610" s="1" t="s">
        <v>37</v>
      </c>
      <c r="E1610" s="1">
        <v>-180</v>
      </c>
      <c r="F1610" s="1">
        <v>655</v>
      </c>
    </row>
    <row r="1611" spans="1:6" x14ac:dyDescent="0.2">
      <c r="A1611" s="205">
        <v>0.6026273148148148</v>
      </c>
      <c r="B1611" s="1" t="s">
        <v>1128</v>
      </c>
      <c r="C1611" s="1">
        <v>83</v>
      </c>
      <c r="D1611" s="1" t="s">
        <v>37</v>
      </c>
      <c r="E1611" s="1">
        <v>-203</v>
      </c>
      <c r="F1611" s="1">
        <v>667.5</v>
      </c>
    </row>
    <row r="1612" spans="1:6" x14ac:dyDescent="0.2">
      <c r="A1612" s="205">
        <v>0.60339120370370369</v>
      </c>
      <c r="B1612" s="1" t="s">
        <v>1119</v>
      </c>
      <c r="C1612" s="1">
        <v>93</v>
      </c>
      <c r="D1612" s="1" t="s">
        <v>37</v>
      </c>
      <c r="E1612" s="1">
        <v>-210</v>
      </c>
      <c r="F1612" s="1">
        <v>740</v>
      </c>
    </row>
    <row r="1613" spans="1:6" x14ac:dyDescent="0.2">
      <c r="A1613" s="205">
        <v>0.60420138888888886</v>
      </c>
      <c r="B1613" s="1" t="s">
        <v>1122</v>
      </c>
      <c r="C1613" s="1">
        <v>120</v>
      </c>
      <c r="D1613" s="1" t="s">
        <v>37</v>
      </c>
      <c r="E1613" s="1">
        <v>-222.5</v>
      </c>
      <c r="F1613" s="1">
        <v>807.5</v>
      </c>
    </row>
    <row r="1614" spans="1:6" x14ac:dyDescent="0.2">
      <c r="A1614" s="205">
        <v>0.60516203703703708</v>
      </c>
      <c r="B1614" s="1" t="s">
        <v>1123</v>
      </c>
      <c r="C1614" s="1">
        <v>120</v>
      </c>
      <c r="D1614" s="1" t="s">
        <v>37</v>
      </c>
      <c r="E1614" s="1">
        <v>-280</v>
      </c>
    </row>
    <row r="1615" spans="1:6" x14ac:dyDescent="0.2">
      <c r="A1615" s="205">
        <v>0.60629629629629633</v>
      </c>
      <c r="B1615" s="1" t="s">
        <v>1130</v>
      </c>
      <c r="C1615" s="1">
        <v>120</v>
      </c>
      <c r="D1615" s="1" t="s">
        <v>37</v>
      </c>
      <c r="E1615" s="1">
        <v>303.5</v>
      </c>
    </row>
    <row r="1616" spans="1:6" x14ac:dyDescent="0.2">
      <c r="A1616" s="205">
        <v>0.61009259259259252</v>
      </c>
      <c r="B1616" s="1" t="s">
        <v>1125</v>
      </c>
      <c r="C1616" s="1">
        <v>66</v>
      </c>
      <c r="D1616" s="1" t="s">
        <v>30</v>
      </c>
      <c r="E1616" s="1">
        <v>110</v>
      </c>
      <c r="F1616" s="1">
        <v>305</v>
      </c>
    </row>
    <row r="1617" spans="1:6" x14ac:dyDescent="0.2">
      <c r="A1617" s="205">
        <v>0.61078703703703707</v>
      </c>
      <c r="B1617" s="1" t="s">
        <v>1103</v>
      </c>
      <c r="C1617" s="1">
        <v>59</v>
      </c>
      <c r="D1617" s="1" t="s">
        <v>30</v>
      </c>
      <c r="E1617" s="1">
        <v>140</v>
      </c>
      <c r="F1617" s="1">
        <v>402.5</v>
      </c>
    </row>
    <row r="1618" spans="1:6" x14ac:dyDescent="0.2">
      <c r="A1618" s="205">
        <v>0.6113425925925926</v>
      </c>
      <c r="B1618" s="1" t="s">
        <v>1105</v>
      </c>
      <c r="C1618" s="1">
        <v>66</v>
      </c>
      <c r="D1618" s="1" t="s">
        <v>30</v>
      </c>
      <c r="E1618" s="1">
        <v>150</v>
      </c>
      <c r="F1618" s="1">
        <v>530</v>
      </c>
    </row>
    <row r="1619" spans="1:6" x14ac:dyDescent="0.2">
      <c r="A1619" s="205">
        <v>0.61204861111111108</v>
      </c>
      <c r="B1619" s="1" t="s">
        <v>1104</v>
      </c>
      <c r="C1619" s="1">
        <v>66</v>
      </c>
      <c r="D1619" s="1" t="s">
        <v>30</v>
      </c>
      <c r="E1619" s="1">
        <v>190</v>
      </c>
      <c r="F1619" s="1">
        <v>610</v>
      </c>
    </row>
    <row r="1620" spans="1:6" x14ac:dyDescent="0.2">
      <c r="A1620" s="205">
        <v>0.61274305555555553</v>
      </c>
      <c r="B1620" s="1" t="s">
        <v>1108</v>
      </c>
      <c r="C1620" s="1">
        <v>74</v>
      </c>
      <c r="D1620" s="1" t="s">
        <v>30</v>
      </c>
      <c r="E1620" s="1">
        <v>215</v>
      </c>
      <c r="F1620" s="1">
        <v>610</v>
      </c>
    </row>
    <row r="1621" spans="1:6" x14ac:dyDescent="0.2">
      <c r="A1621" s="205">
        <v>0.61327546296296298</v>
      </c>
      <c r="B1621" s="1" t="s">
        <v>1109</v>
      </c>
      <c r="C1621" s="1">
        <v>74</v>
      </c>
      <c r="D1621" s="1" t="s">
        <v>30</v>
      </c>
      <c r="E1621" s="1">
        <v>222.5</v>
      </c>
      <c r="F1621" s="1">
        <v>597.5</v>
      </c>
    </row>
    <row r="1622" spans="1:6" x14ac:dyDescent="0.2">
      <c r="A1622" s="205">
        <v>0.61399305555555561</v>
      </c>
      <c r="B1622" s="1" t="s">
        <v>1107</v>
      </c>
      <c r="C1622" s="1">
        <v>74</v>
      </c>
      <c r="D1622" s="1" t="s">
        <v>30</v>
      </c>
      <c r="E1622" s="1">
        <v>270</v>
      </c>
      <c r="F1622" s="1">
        <v>767.5</v>
      </c>
    </row>
    <row r="1623" spans="1:6" x14ac:dyDescent="0.2">
      <c r="A1623" s="205">
        <v>0.61474537037037036</v>
      </c>
      <c r="B1623" s="1" t="s">
        <v>1125</v>
      </c>
      <c r="C1623" s="1">
        <v>66</v>
      </c>
      <c r="D1623" s="1" t="s">
        <v>34</v>
      </c>
      <c r="E1623" s="1">
        <v>120</v>
      </c>
      <c r="F1623" s="1">
        <v>315</v>
      </c>
    </row>
    <row r="1624" spans="1:6" x14ac:dyDescent="0.2">
      <c r="A1624" s="205">
        <v>0.61557870370370371</v>
      </c>
      <c r="B1624" s="1" t="s">
        <v>1103</v>
      </c>
      <c r="C1624" s="1">
        <v>59</v>
      </c>
      <c r="D1624" s="1" t="s">
        <v>34</v>
      </c>
      <c r="E1624" s="1">
        <v>147.5</v>
      </c>
      <c r="F1624" s="1">
        <v>410</v>
      </c>
    </row>
    <row r="1625" spans="1:6" x14ac:dyDescent="0.2">
      <c r="A1625" s="205">
        <v>0.61618055555555562</v>
      </c>
      <c r="B1625" s="1" t="s">
        <v>1105</v>
      </c>
      <c r="C1625" s="1">
        <v>66</v>
      </c>
      <c r="D1625" s="1" t="s">
        <v>34</v>
      </c>
      <c r="E1625" s="1">
        <v>157.5</v>
      </c>
      <c r="F1625" s="1">
        <v>537.5</v>
      </c>
    </row>
    <row r="1626" spans="1:6" x14ac:dyDescent="0.2">
      <c r="A1626" s="205">
        <v>0.61690972222222229</v>
      </c>
      <c r="B1626" s="1" t="s">
        <v>1104</v>
      </c>
      <c r="C1626" s="1">
        <v>66</v>
      </c>
      <c r="D1626" s="1" t="s">
        <v>34</v>
      </c>
      <c r="E1626" s="1">
        <v>210</v>
      </c>
      <c r="F1626" s="1">
        <v>630</v>
      </c>
    </row>
    <row r="1627" spans="1:6" x14ac:dyDescent="0.2">
      <c r="A1627" s="205">
        <v>0.61760416666666662</v>
      </c>
      <c r="B1627" s="1" t="s">
        <v>1108</v>
      </c>
      <c r="C1627" s="1">
        <v>74</v>
      </c>
      <c r="D1627" s="1" t="s">
        <v>34</v>
      </c>
      <c r="E1627" s="1">
        <v>225</v>
      </c>
      <c r="F1627" s="1">
        <v>620</v>
      </c>
    </row>
    <row r="1628" spans="1:6" x14ac:dyDescent="0.2">
      <c r="A1628" s="205">
        <v>0.61824074074074076</v>
      </c>
      <c r="B1628" s="1" t="s">
        <v>1109</v>
      </c>
      <c r="C1628" s="1">
        <v>74</v>
      </c>
      <c r="D1628" s="1" t="s">
        <v>34</v>
      </c>
      <c r="E1628" s="1">
        <v>232.5</v>
      </c>
      <c r="F1628" s="1">
        <v>607.5</v>
      </c>
    </row>
    <row r="1629" spans="1:6" x14ac:dyDescent="0.2">
      <c r="A1629" s="205">
        <v>0.61906249999999996</v>
      </c>
      <c r="B1629" s="1" t="s">
        <v>1107</v>
      </c>
      <c r="C1629" s="1">
        <v>74</v>
      </c>
      <c r="D1629" s="1" t="s">
        <v>34</v>
      </c>
      <c r="E1629" s="1">
        <v>290</v>
      </c>
      <c r="F1629" s="1">
        <v>787.5</v>
      </c>
    </row>
    <row r="1630" spans="1:6" x14ac:dyDescent="0.2">
      <c r="A1630" s="205">
        <v>0.61983796296296301</v>
      </c>
      <c r="B1630" s="1" t="s">
        <v>1125</v>
      </c>
      <c r="C1630" s="1">
        <v>66</v>
      </c>
      <c r="D1630" s="1" t="s">
        <v>38</v>
      </c>
      <c r="E1630" s="1">
        <v>130</v>
      </c>
      <c r="F1630" s="1">
        <v>325</v>
      </c>
    </row>
    <row r="1631" spans="1:6" x14ac:dyDescent="0.2">
      <c r="A1631" s="205">
        <v>0.62054398148148149</v>
      </c>
      <c r="B1631" s="1" t="s">
        <v>1103</v>
      </c>
      <c r="C1631" s="1">
        <v>59</v>
      </c>
      <c r="D1631" s="1" t="s">
        <v>38</v>
      </c>
      <c r="E1631" s="1">
        <v>-160</v>
      </c>
      <c r="F1631" s="1">
        <v>410</v>
      </c>
    </row>
    <row r="1632" spans="1:6" x14ac:dyDescent="0.2">
      <c r="A1632" s="205">
        <v>0.62141203703703707</v>
      </c>
      <c r="B1632" s="1" t="s">
        <v>1105</v>
      </c>
      <c r="C1632" s="1">
        <v>66</v>
      </c>
      <c r="D1632" s="1" t="s">
        <v>38</v>
      </c>
      <c r="E1632" s="1">
        <v>165</v>
      </c>
      <c r="F1632" s="1">
        <v>545</v>
      </c>
    </row>
    <row r="1633" spans="1:6" x14ac:dyDescent="0.2">
      <c r="A1633" s="205">
        <v>0.62221064814814808</v>
      </c>
      <c r="B1633" s="1" t="s">
        <v>1104</v>
      </c>
      <c r="C1633" s="1">
        <v>66</v>
      </c>
      <c r="D1633" s="1" t="s">
        <v>38</v>
      </c>
      <c r="E1633" s="1">
        <v>-220</v>
      </c>
      <c r="F1633" s="1">
        <v>630</v>
      </c>
    </row>
    <row r="1634" spans="1:6" x14ac:dyDescent="0.2">
      <c r="A1634" s="205">
        <v>0.62305555555555558</v>
      </c>
      <c r="B1634" s="1" t="s">
        <v>1108</v>
      </c>
      <c r="C1634" s="1">
        <v>74</v>
      </c>
      <c r="D1634" s="1" t="s">
        <v>38</v>
      </c>
      <c r="E1634" s="1">
        <v>-232.5</v>
      </c>
      <c r="F1634" s="1">
        <v>620</v>
      </c>
    </row>
    <row r="1635" spans="1:6" x14ac:dyDescent="0.2">
      <c r="A1635" s="205">
        <v>0.62403935185185189</v>
      </c>
      <c r="B1635" s="1" t="s">
        <v>1109</v>
      </c>
      <c r="C1635" s="1">
        <v>74</v>
      </c>
      <c r="D1635" s="1" t="s">
        <v>38</v>
      </c>
      <c r="E1635" s="1">
        <v>-240</v>
      </c>
      <c r="F1635" s="1">
        <v>607.5</v>
      </c>
    </row>
    <row r="1636" spans="1:6" x14ac:dyDescent="0.2">
      <c r="A1636" s="205">
        <v>0.62503472222222223</v>
      </c>
      <c r="B1636" s="1" t="s">
        <v>1107</v>
      </c>
      <c r="C1636" s="1">
        <v>74</v>
      </c>
      <c r="D1636" s="1" t="s">
        <v>38</v>
      </c>
      <c r="E1636" s="1">
        <v>305.5</v>
      </c>
      <c r="F1636" s="1">
        <v>803</v>
      </c>
    </row>
    <row r="1637" spans="1:6" x14ac:dyDescent="0.2">
      <c r="A1637" s="205">
        <v>0.62675925925925924</v>
      </c>
      <c r="B1637" s="1" t="s">
        <v>1127</v>
      </c>
      <c r="C1637" s="1">
        <v>83</v>
      </c>
      <c r="D1637" s="1" t="s">
        <v>30</v>
      </c>
      <c r="E1637" s="1">
        <v>-160</v>
      </c>
    </row>
    <row r="1638" spans="1:6" x14ac:dyDescent="0.2">
      <c r="A1638" s="205">
        <v>0.6275115740740741</v>
      </c>
      <c r="B1638" s="1" t="s">
        <v>1110</v>
      </c>
      <c r="C1638" s="1">
        <v>83</v>
      </c>
      <c r="D1638" s="1" t="s">
        <v>30</v>
      </c>
      <c r="E1638" s="1">
        <v>180</v>
      </c>
      <c r="F1638" s="1">
        <v>502.5</v>
      </c>
    </row>
    <row r="1639" spans="1:6" x14ac:dyDescent="0.2">
      <c r="A1639" s="205">
        <v>0.62811342592592589</v>
      </c>
      <c r="B1639" s="1" t="s">
        <v>1111</v>
      </c>
      <c r="C1639" s="1">
        <v>83</v>
      </c>
      <c r="D1639" s="1" t="s">
        <v>30</v>
      </c>
      <c r="E1639" s="1">
        <v>205</v>
      </c>
      <c r="F1639" s="1">
        <v>505</v>
      </c>
    </row>
    <row r="1640" spans="1:6" x14ac:dyDescent="0.2">
      <c r="A1640" s="205">
        <v>0.62892361111111106</v>
      </c>
      <c r="B1640" s="1" t="s">
        <v>1129</v>
      </c>
      <c r="C1640" s="1">
        <v>105</v>
      </c>
      <c r="D1640" s="1" t="s">
        <v>30</v>
      </c>
      <c r="E1640" s="1">
        <v>215</v>
      </c>
      <c r="F1640" s="1">
        <v>635</v>
      </c>
    </row>
    <row r="1641" spans="1:6" x14ac:dyDescent="0.2">
      <c r="A1641" s="205">
        <v>0.62961805555555561</v>
      </c>
      <c r="B1641" s="1" t="s">
        <v>1117</v>
      </c>
      <c r="C1641" s="1">
        <v>105</v>
      </c>
      <c r="D1641" s="1" t="s">
        <v>30</v>
      </c>
      <c r="E1641" s="1">
        <v>220</v>
      </c>
      <c r="F1641" s="1">
        <v>798</v>
      </c>
    </row>
    <row r="1642" spans="1:6" x14ac:dyDescent="0.2">
      <c r="A1642" s="205">
        <v>0.63042824074074078</v>
      </c>
      <c r="B1642" s="1" t="s">
        <v>1114</v>
      </c>
      <c r="C1642" s="1">
        <v>83</v>
      </c>
      <c r="D1642" s="1" t="s">
        <v>30</v>
      </c>
      <c r="E1642" s="1">
        <v>230</v>
      </c>
      <c r="F1642" s="1">
        <v>680</v>
      </c>
    </row>
    <row r="1643" spans="1:6" x14ac:dyDescent="0.2">
      <c r="A1643" s="205">
        <v>0.63107638888888895</v>
      </c>
      <c r="B1643" s="1" t="s">
        <v>1112</v>
      </c>
      <c r="C1643" s="1">
        <v>83</v>
      </c>
      <c r="D1643" s="1" t="s">
        <v>30</v>
      </c>
      <c r="E1643" s="1">
        <v>240</v>
      </c>
      <c r="F1643" s="1">
        <v>752.5</v>
      </c>
    </row>
    <row r="1644" spans="1:6" x14ac:dyDescent="0.2">
      <c r="A1644" s="205">
        <v>0.63184027777777774</v>
      </c>
      <c r="B1644" s="1" t="s">
        <v>1113</v>
      </c>
      <c r="C1644" s="1">
        <v>83</v>
      </c>
      <c r="D1644" s="1" t="s">
        <v>30</v>
      </c>
      <c r="E1644" s="1">
        <v>250</v>
      </c>
      <c r="F1644" s="1">
        <v>810</v>
      </c>
    </row>
    <row r="1645" spans="1:6" x14ac:dyDescent="0.2">
      <c r="A1645" s="205">
        <v>0.63262731481481482</v>
      </c>
      <c r="B1645" s="1" t="s">
        <v>1116</v>
      </c>
      <c r="C1645" s="1">
        <v>105</v>
      </c>
      <c r="D1645" s="1" t="s">
        <v>30</v>
      </c>
      <c r="E1645" s="1">
        <v>260</v>
      </c>
      <c r="F1645" s="1">
        <v>880</v>
      </c>
    </row>
    <row r="1646" spans="1:6" x14ac:dyDescent="0.2">
      <c r="A1646" s="205">
        <v>0.63424768518518515</v>
      </c>
      <c r="B1646" s="1" t="s">
        <v>1127</v>
      </c>
      <c r="C1646" s="1">
        <v>83</v>
      </c>
      <c r="D1646" s="1" t="s">
        <v>34</v>
      </c>
      <c r="E1646" s="1">
        <v>160</v>
      </c>
      <c r="F1646" s="1">
        <v>417.5</v>
      </c>
    </row>
    <row r="1647" spans="1:6" x14ac:dyDescent="0.2">
      <c r="A1647" s="205">
        <v>0.63523148148148145</v>
      </c>
      <c r="B1647" s="1" t="s">
        <v>1110</v>
      </c>
      <c r="C1647" s="1">
        <v>83</v>
      </c>
      <c r="D1647" s="1" t="s">
        <v>34</v>
      </c>
      <c r="E1647" s="1">
        <v>187.5</v>
      </c>
      <c r="F1647" s="1">
        <v>510</v>
      </c>
    </row>
    <row r="1648" spans="1:6" x14ac:dyDescent="0.2">
      <c r="A1648" s="205">
        <v>0.63651620370370365</v>
      </c>
      <c r="B1648" s="1" t="s">
        <v>1111</v>
      </c>
      <c r="C1648" s="1">
        <v>83</v>
      </c>
      <c r="D1648" s="1" t="s">
        <v>34</v>
      </c>
      <c r="E1648" s="1">
        <v>-227</v>
      </c>
      <c r="F1648" s="1">
        <v>505</v>
      </c>
    </row>
    <row r="1649" spans="1:6" x14ac:dyDescent="0.2">
      <c r="A1649" s="205">
        <v>0.63747685185185188</v>
      </c>
      <c r="B1649" s="1" t="s">
        <v>1129</v>
      </c>
      <c r="C1649" s="1">
        <v>105</v>
      </c>
      <c r="D1649" s="1" t="s">
        <v>34</v>
      </c>
      <c r="E1649" s="1">
        <v>230</v>
      </c>
      <c r="F1649" s="1">
        <v>650</v>
      </c>
    </row>
    <row r="1650" spans="1:6" x14ac:dyDescent="0.2">
      <c r="A1650" s="205">
        <v>0.63813657407407409</v>
      </c>
      <c r="B1650" s="1" t="s">
        <v>1117</v>
      </c>
      <c r="C1650" s="1">
        <v>105</v>
      </c>
      <c r="D1650" s="1" t="s">
        <v>34</v>
      </c>
      <c r="E1650" s="1">
        <v>235</v>
      </c>
      <c r="F1650" s="1">
        <v>813</v>
      </c>
    </row>
    <row r="1651" spans="1:6" x14ac:dyDescent="0.2">
      <c r="A1651" s="205">
        <v>0.63895833333333341</v>
      </c>
      <c r="B1651" s="1" t="s">
        <v>1114</v>
      </c>
      <c r="C1651" s="1">
        <v>83</v>
      </c>
      <c r="D1651" s="1" t="s">
        <v>34</v>
      </c>
      <c r="E1651" s="1">
        <v>-250</v>
      </c>
      <c r="F1651" s="1">
        <v>680</v>
      </c>
    </row>
    <row r="1652" spans="1:6" x14ac:dyDescent="0.2">
      <c r="A1652" s="205">
        <v>0.63983796296296302</v>
      </c>
      <c r="B1652" s="1" t="s">
        <v>1112</v>
      </c>
      <c r="C1652" s="1">
        <v>83</v>
      </c>
      <c r="D1652" s="1" t="s">
        <v>34</v>
      </c>
      <c r="E1652" s="1">
        <v>260</v>
      </c>
      <c r="F1652" s="1">
        <v>772.5</v>
      </c>
    </row>
    <row r="1653" spans="1:6" x14ac:dyDescent="0.2">
      <c r="A1653" s="205">
        <v>0.64070601851851849</v>
      </c>
      <c r="B1653" s="1" t="s">
        <v>1113</v>
      </c>
      <c r="C1653" s="1">
        <v>83</v>
      </c>
      <c r="D1653" s="1" t="s">
        <v>34</v>
      </c>
      <c r="E1653" s="1">
        <v>270</v>
      </c>
      <c r="F1653" s="1">
        <v>830</v>
      </c>
    </row>
    <row r="1654" spans="1:6" x14ac:dyDescent="0.2">
      <c r="A1654" s="205">
        <v>0.64156250000000004</v>
      </c>
      <c r="B1654" s="1" t="s">
        <v>1116</v>
      </c>
      <c r="C1654" s="1">
        <v>105</v>
      </c>
      <c r="D1654" s="1" t="s">
        <v>34</v>
      </c>
      <c r="E1654" s="1">
        <v>280</v>
      </c>
      <c r="F1654" s="1">
        <v>900</v>
      </c>
    </row>
    <row r="1655" spans="1:6" x14ac:dyDescent="0.2">
      <c r="A1655" s="205">
        <v>0.6428935185185185</v>
      </c>
      <c r="B1655" s="1" t="s">
        <v>1127</v>
      </c>
      <c r="C1655" s="1">
        <v>83</v>
      </c>
      <c r="D1655" s="1" t="s">
        <v>38</v>
      </c>
      <c r="E1655" s="1">
        <v>-170</v>
      </c>
      <c r="F1655" s="1">
        <v>417.5</v>
      </c>
    </row>
    <row r="1656" spans="1:6" x14ac:dyDescent="0.2">
      <c r="A1656" s="205">
        <v>0.64333333333333331</v>
      </c>
      <c r="B1656" s="1" t="s">
        <v>1127</v>
      </c>
      <c r="C1656" s="1">
        <v>83</v>
      </c>
      <c r="D1656" s="1" t="s">
        <v>38</v>
      </c>
      <c r="E1656" s="1">
        <v>170</v>
      </c>
      <c r="F1656" s="1">
        <v>427.5</v>
      </c>
    </row>
    <row r="1657" spans="1:6" x14ac:dyDescent="0.2">
      <c r="A1657" s="205">
        <v>0.64386574074074077</v>
      </c>
      <c r="B1657" s="1" t="s">
        <v>1110</v>
      </c>
      <c r="C1657" s="1">
        <v>83</v>
      </c>
      <c r="D1657" s="1" t="s">
        <v>38</v>
      </c>
      <c r="E1657" s="1">
        <v>192.5</v>
      </c>
      <c r="F1657" s="1">
        <v>515</v>
      </c>
    </row>
    <row r="1658" spans="1:6" x14ac:dyDescent="0.2">
      <c r="A1658" s="205">
        <v>0.64474537037037039</v>
      </c>
      <c r="B1658" s="1" t="s">
        <v>1111</v>
      </c>
      <c r="C1658" s="1">
        <v>83</v>
      </c>
      <c r="D1658" s="1" t="s">
        <v>38</v>
      </c>
      <c r="E1658" s="1">
        <v>-227</v>
      </c>
      <c r="F1658" s="1">
        <v>505</v>
      </c>
    </row>
    <row r="1659" spans="1:6" x14ac:dyDescent="0.2">
      <c r="A1659" s="205">
        <v>0.64585648148148145</v>
      </c>
      <c r="B1659" s="1" t="s">
        <v>1129</v>
      </c>
      <c r="C1659" s="1">
        <v>105</v>
      </c>
      <c r="D1659" s="1" t="s">
        <v>38</v>
      </c>
      <c r="E1659" s="1">
        <v>240</v>
      </c>
      <c r="F1659" s="1">
        <v>660</v>
      </c>
    </row>
    <row r="1660" spans="1:6" x14ac:dyDescent="0.2">
      <c r="A1660" s="205">
        <v>0.64678240740740744</v>
      </c>
      <c r="B1660" s="1" t="s">
        <v>1117</v>
      </c>
      <c r="C1660" s="1">
        <v>105</v>
      </c>
      <c r="D1660" s="1" t="s">
        <v>38</v>
      </c>
      <c r="E1660" s="1">
        <v>-242.5</v>
      </c>
      <c r="F1660" s="1">
        <v>813</v>
      </c>
    </row>
    <row r="1661" spans="1:6" x14ac:dyDescent="0.2">
      <c r="A1661" s="205">
        <v>0.64763888888888888</v>
      </c>
      <c r="B1661" s="1" t="s">
        <v>1114</v>
      </c>
      <c r="C1661" s="1">
        <v>83</v>
      </c>
      <c r="D1661" s="1" t="s">
        <v>38</v>
      </c>
      <c r="E1661" s="1">
        <v>-250</v>
      </c>
      <c r="F1661" s="1">
        <v>680</v>
      </c>
    </row>
    <row r="1662" spans="1:6" x14ac:dyDescent="0.2">
      <c r="A1662" s="205">
        <v>0.64861111111111114</v>
      </c>
      <c r="B1662" s="1" t="s">
        <v>1112</v>
      </c>
      <c r="C1662" s="1">
        <v>83</v>
      </c>
      <c r="D1662" s="1" t="s">
        <v>38</v>
      </c>
      <c r="E1662" s="1">
        <v>-287.5</v>
      </c>
      <c r="F1662" s="1">
        <v>772.5</v>
      </c>
    </row>
    <row r="1663" spans="1:6" x14ac:dyDescent="0.2">
      <c r="A1663" s="205">
        <v>0.64962962962962967</v>
      </c>
      <c r="B1663" s="1" t="s">
        <v>1113</v>
      </c>
      <c r="C1663" s="1">
        <v>83</v>
      </c>
      <c r="D1663" s="1" t="s">
        <v>38</v>
      </c>
      <c r="E1663" s="1">
        <v>-290</v>
      </c>
      <c r="F1663" s="1">
        <v>830</v>
      </c>
    </row>
    <row r="1664" spans="1:6" x14ac:dyDescent="0.2">
      <c r="A1664" s="205">
        <v>0.6507060185185185</v>
      </c>
      <c r="B1664" s="1" t="s">
        <v>1116</v>
      </c>
      <c r="C1664" s="1">
        <v>105</v>
      </c>
      <c r="D1664" s="1" t="s">
        <v>38</v>
      </c>
      <c r="E1664" s="1">
        <v>300</v>
      </c>
      <c r="F1664" s="1">
        <v>920</v>
      </c>
    </row>
    <row r="1665" spans="1:6" x14ac:dyDescent="0.2">
      <c r="A1665" s="205">
        <v>0.65244212962962966</v>
      </c>
      <c r="B1665" s="1" t="s">
        <v>1120</v>
      </c>
      <c r="C1665" s="1">
        <v>93</v>
      </c>
      <c r="D1665" s="1" t="s">
        <v>30</v>
      </c>
      <c r="E1665" s="1">
        <v>195</v>
      </c>
      <c r="F1665" s="1">
        <v>595</v>
      </c>
    </row>
    <row r="1666" spans="1:6" x14ac:dyDescent="0.2">
      <c r="A1666" s="205">
        <v>0.65307870370370369</v>
      </c>
      <c r="B1666" s="1" t="s">
        <v>1115</v>
      </c>
      <c r="C1666" s="1">
        <v>105</v>
      </c>
      <c r="D1666" s="1" t="s">
        <v>30</v>
      </c>
      <c r="E1666" s="1">
        <v>200</v>
      </c>
      <c r="F1666" s="1">
        <v>547.5</v>
      </c>
    </row>
    <row r="1667" spans="1:6" x14ac:dyDescent="0.2">
      <c r="A1667" s="205">
        <v>0.65365740740740741</v>
      </c>
      <c r="B1667" s="1" t="s">
        <v>1128</v>
      </c>
      <c r="C1667" s="1">
        <v>83</v>
      </c>
      <c r="D1667" s="1" t="s">
        <v>30</v>
      </c>
      <c r="E1667" s="1">
        <v>215</v>
      </c>
      <c r="F1667" s="1">
        <v>667.5</v>
      </c>
    </row>
    <row r="1668" spans="1:6" x14ac:dyDescent="0.2">
      <c r="A1668" s="205">
        <v>0.65447916666666661</v>
      </c>
      <c r="B1668" s="1" t="s">
        <v>1130</v>
      </c>
      <c r="C1668" s="1">
        <v>120</v>
      </c>
      <c r="D1668" s="1" t="s">
        <v>30</v>
      </c>
      <c r="E1668" s="1">
        <v>220</v>
      </c>
      <c r="F1668" s="1">
        <v>848.5</v>
      </c>
    </row>
    <row r="1669" spans="1:6" x14ac:dyDescent="0.2">
      <c r="A1669" s="205">
        <v>0.65538194444444442</v>
      </c>
      <c r="B1669" s="1" t="s">
        <v>1118</v>
      </c>
      <c r="C1669" s="1">
        <v>93</v>
      </c>
      <c r="D1669" s="1" t="s">
        <v>30</v>
      </c>
      <c r="E1669" s="1">
        <v>220</v>
      </c>
      <c r="F1669" s="1">
        <v>655</v>
      </c>
    </row>
    <row r="1670" spans="1:6" x14ac:dyDescent="0.2">
      <c r="A1670" s="205">
        <v>0.65621527777777777</v>
      </c>
      <c r="B1670" s="1" t="s">
        <v>1119</v>
      </c>
      <c r="C1670" s="1">
        <v>93</v>
      </c>
      <c r="D1670" s="1" t="s">
        <v>30</v>
      </c>
      <c r="E1670" s="1">
        <v>240</v>
      </c>
      <c r="F1670" s="1">
        <v>730</v>
      </c>
    </row>
    <row r="1671" spans="1:6" x14ac:dyDescent="0.2">
      <c r="A1671" s="205">
        <v>0.65697916666666667</v>
      </c>
      <c r="B1671" s="1" t="s">
        <v>1122</v>
      </c>
      <c r="C1671" s="1">
        <v>120</v>
      </c>
      <c r="D1671" s="1" t="s">
        <v>30</v>
      </c>
      <c r="E1671" s="1">
        <v>265</v>
      </c>
      <c r="F1671" s="1">
        <v>802.5</v>
      </c>
    </row>
    <row r="1672" spans="1:6" x14ac:dyDescent="0.2">
      <c r="A1672" s="205">
        <v>0.65796296296296297</v>
      </c>
      <c r="B1672" s="1" t="s">
        <v>1115</v>
      </c>
      <c r="C1672" s="1">
        <v>105</v>
      </c>
      <c r="D1672" s="1" t="s">
        <v>34</v>
      </c>
      <c r="E1672" s="1">
        <v>215</v>
      </c>
      <c r="F1672" s="1">
        <v>562.5</v>
      </c>
    </row>
    <row r="1673" spans="1:6" x14ac:dyDescent="0.2">
      <c r="A1673" s="205">
        <v>0.65854166666666669</v>
      </c>
      <c r="B1673" s="1" t="s">
        <v>1120</v>
      </c>
      <c r="C1673" s="1">
        <v>93</v>
      </c>
      <c r="D1673" s="1" t="s">
        <v>34</v>
      </c>
      <c r="E1673" s="1">
        <v>215</v>
      </c>
      <c r="F1673" s="1">
        <v>615</v>
      </c>
    </row>
    <row r="1674" spans="1:6" x14ac:dyDescent="0.2">
      <c r="A1674" s="205">
        <v>0.65960648148148149</v>
      </c>
      <c r="B1674" s="1" t="s">
        <v>1118</v>
      </c>
      <c r="C1674" s="1">
        <v>93</v>
      </c>
      <c r="D1674" s="1" t="s">
        <v>34</v>
      </c>
      <c r="E1674" s="1">
        <v>-245</v>
      </c>
      <c r="F1674" s="1">
        <v>655</v>
      </c>
    </row>
    <row r="1675" spans="1:6" x14ac:dyDescent="0.2">
      <c r="A1675" s="205">
        <v>0.6603472222222222</v>
      </c>
      <c r="B1675" s="1" t="s">
        <v>1128</v>
      </c>
      <c r="C1675" s="1">
        <v>83</v>
      </c>
      <c r="D1675" s="1" t="s">
        <v>34</v>
      </c>
      <c r="E1675" s="1">
        <v>245.5</v>
      </c>
      <c r="F1675" s="1">
        <v>698</v>
      </c>
    </row>
    <row r="1676" spans="1:6" x14ac:dyDescent="0.2">
      <c r="A1676" s="205">
        <v>0.66119212962962959</v>
      </c>
      <c r="B1676" s="1" t="s">
        <v>1130</v>
      </c>
      <c r="C1676" s="1">
        <v>120</v>
      </c>
      <c r="D1676" s="1" t="s">
        <v>34</v>
      </c>
      <c r="E1676" s="1">
        <v>252.5</v>
      </c>
      <c r="F1676" s="1">
        <v>881</v>
      </c>
    </row>
    <row r="1677" spans="1:6" x14ac:dyDescent="0.2">
      <c r="A1677" s="205">
        <v>0.66228009259259257</v>
      </c>
      <c r="B1677" s="1" t="s">
        <v>1119</v>
      </c>
      <c r="C1677" s="1">
        <v>93</v>
      </c>
      <c r="D1677" s="1" t="s">
        <v>34</v>
      </c>
      <c r="E1677" s="1">
        <v>-275</v>
      </c>
      <c r="F1677" s="1">
        <v>730</v>
      </c>
    </row>
    <row r="1678" spans="1:6" x14ac:dyDescent="0.2">
      <c r="A1678" s="205">
        <v>0.66295138888888883</v>
      </c>
      <c r="B1678" s="1" t="s">
        <v>1122</v>
      </c>
      <c r="C1678" s="1">
        <v>120</v>
      </c>
      <c r="D1678" s="1" t="s">
        <v>34</v>
      </c>
      <c r="E1678" s="1">
        <v>280</v>
      </c>
      <c r="F1678" s="1">
        <v>817.5</v>
      </c>
    </row>
    <row r="1679" spans="1:6" x14ac:dyDescent="0.2">
      <c r="A1679" s="205">
        <v>0.66427083333333337</v>
      </c>
      <c r="B1679" s="1" t="s">
        <v>1115</v>
      </c>
      <c r="C1679" s="1">
        <v>105</v>
      </c>
      <c r="D1679" s="1" t="s">
        <v>38</v>
      </c>
      <c r="E1679" s="1">
        <v>218</v>
      </c>
      <c r="F1679" s="1">
        <v>565.5</v>
      </c>
    </row>
    <row r="1680" spans="1:6" x14ac:dyDescent="0.2">
      <c r="A1680" s="205">
        <v>0.66521990740740744</v>
      </c>
      <c r="B1680" s="1" t="s">
        <v>1120</v>
      </c>
      <c r="C1680" s="1">
        <v>93</v>
      </c>
      <c r="D1680" s="1" t="s">
        <v>38</v>
      </c>
      <c r="E1680" s="1">
        <v>-230</v>
      </c>
      <c r="F1680" s="1">
        <v>615</v>
      </c>
    </row>
    <row r="1681" spans="1:6" x14ac:dyDescent="0.2">
      <c r="A1681" s="205">
        <v>0.66593749999999996</v>
      </c>
      <c r="B1681" s="1" t="s">
        <v>1118</v>
      </c>
      <c r="C1681" s="1">
        <v>93</v>
      </c>
      <c r="D1681" s="1" t="s">
        <v>38</v>
      </c>
      <c r="E1681" s="1">
        <v>-245</v>
      </c>
      <c r="F1681" s="1">
        <v>655</v>
      </c>
    </row>
    <row r="1682" spans="1:6" x14ac:dyDescent="0.2">
      <c r="A1682" s="205">
        <v>0.66650462962962964</v>
      </c>
      <c r="B1682" s="1" t="s">
        <v>1128</v>
      </c>
      <c r="C1682" s="1">
        <v>83</v>
      </c>
      <c r="D1682" s="1" t="s">
        <v>38</v>
      </c>
      <c r="E1682" s="1">
        <v>-247.5</v>
      </c>
      <c r="F1682" s="1">
        <v>698</v>
      </c>
    </row>
    <row r="1683" spans="1:6" x14ac:dyDescent="0.2">
      <c r="A1683" s="205">
        <v>0.66762731481481474</v>
      </c>
      <c r="B1683" s="1" t="s">
        <v>1130</v>
      </c>
      <c r="C1683" s="1">
        <v>120</v>
      </c>
      <c r="D1683" s="1" t="s">
        <v>38</v>
      </c>
      <c r="E1683" s="1">
        <v>-272.5</v>
      </c>
      <c r="F1683" s="1">
        <v>881</v>
      </c>
    </row>
    <row r="1684" spans="1:6" x14ac:dyDescent="0.2">
      <c r="A1684" s="205">
        <v>0.66886574074074068</v>
      </c>
      <c r="B1684" s="1" t="s">
        <v>1119</v>
      </c>
      <c r="C1684" s="1">
        <v>93</v>
      </c>
      <c r="D1684" s="1" t="s">
        <v>38</v>
      </c>
      <c r="E1684" s="1">
        <v>-275</v>
      </c>
      <c r="F1684" s="1">
        <v>730</v>
      </c>
    </row>
    <row r="1685" spans="1:6" x14ac:dyDescent="0.2">
      <c r="A1685" s="205">
        <v>0.66982638888888879</v>
      </c>
      <c r="B1685" s="1" t="s">
        <v>1122</v>
      </c>
      <c r="C1685" s="1">
        <v>120</v>
      </c>
      <c r="D1685" s="1" t="s">
        <v>38</v>
      </c>
      <c r="E1685" s="1">
        <v>-287.5</v>
      </c>
      <c r="F1685" s="1">
        <v>817.5</v>
      </c>
    </row>
    <row r="1686" spans="1:6" x14ac:dyDescent="0.2">
      <c r="A1686" s="205">
        <v>0.66987268518518517</v>
      </c>
      <c r="B1686" s="1" t="s">
        <v>1121</v>
      </c>
      <c r="C1686" s="1">
        <v>120</v>
      </c>
      <c r="D1686" s="1" t="s">
        <v>38</v>
      </c>
      <c r="E1686" s="1">
        <v>0</v>
      </c>
    </row>
    <row r="1687" spans="1:6" x14ac:dyDescent="0.2">
      <c r="A1687" s="205">
        <v>0.45946759259259262</v>
      </c>
      <c r="B1687" s="1" t="s">
        <v>1151</v>
      </c>
      <c r="C1687" s="1">
        <v>57</v>
      </c>
      <c r="D1687" s="1" t="s">
        <v>29</v>
      </c>
      <c r="E1687" s="1">
        <v>25</v>
      </c>
      <c r="F1687" s="1">
        <v>25</v>
      </c>
    </row>
    <row r="1688" spans="1:6" x14ac:dyDescent="0.2">
      <c r="A1688" s="205">
        <v>0.46035879629629628</v>
      </c>
      <c r="B1688" s="1" t="s">
        <v>1133</v>
      </c>
      <c r="C1688" s="1">
        <v>72</v>
      </c>
      <c r="D1688" s="1" t="s">
        <v>29</v>
      </c>
      <c r="E1688" s="1">
        <v>47.5</v>
      </c>
      <c r="F1688" s="1">
        <v>47.5</v>
      </c>
    </row>
    <row r="1689" spans="1:6" x14ac:dyDescent="0.2">
      <c r="A1689" s="205">
        <v>0.46120370370370373</v>
      </c>
      <c r="B1689" s="1" t="s">
        <v>1135</v>
      </c>
      <c r="C1689" s="1">
        <v>66</v>
      </c>
      <c r="D1689" s="1" t="s">
        <v>29</v>
      </c>
      <c r="E1689" s="1">
        <v>52.5</v>
      </c>
      <c r="F1689" s="1">
        <v>52.5</v>
      </c>
    </row>
    <row r="1690" spans="1:6" x14ac:dyDescent="0.2">
      <c r="A1690" s="205">
        <v>0.46260416666666665</v>
      </c>
      <c r="B1690" s="1" t="s">
        <v>1009</v>
      </c>
      <c r="C1690" s="1">
        <v>52</v>
      </c>
      <c r="D1690" s="1" t="s">
        <v>29</v>
      </c>
      <c r="E1690" s="1">
        <v>60</v>
      </c>
      <c r="F1690" s="1">
        <v>60</v>
      </c>
    </row>
    <row r="1691" spans="1:6" x14ac:dyDescent="0.2">
      <c r="A1691" s="205">
        <v>0.46341435185185187</v>
      </c>
      <c r="B1691" s="1" t="s">
        <v>984</v>
      </c>
      <c r="C1691" s="1">
        <v>66</v>
      </c>
      <c r="D1691" s="1" t="s">
        <v>29</v>
      </c>
      <c r="E1691" s="1">
        <v>70</v>
      </c>
      <c r="F1691" s="1">
        <v>70</v>
      </c>
    </row>
    <row r="1692" spans="1:6" x14ac:dyDescent="0.2">
      <c r="A1692" s="205">
        <v>0.46619212962962964</v>
      </c>
      <c r="B1692" s="1" t="s">
        <v>1131</v>
      </c>
      <c r="C1692" s="1">
        <v>52</v>
      </c>
      <c r="D1692" s="1" t="s">
        <v>29</v>
      </c>
      <c r="E1692" s="1">
        <v>80</v>
      </c>
      <c r="F1692" s="1">
        <v>80</v>
      </c>
    </row>
    <row r="1693" spans="1:6" x14ac:dyDescent="0.2">
      <c r="A1693" s="205">
        <v>0.46711805555555558</v>
      </c>
      <c r="B1693" s="1" t="s">
        <v>1132</v>
      </c>
      <c r="C1693" s="1">
        <v>57</v>
      </c>
      <c r="D1693" s="1" t="s">
        <v>29</v>
      </c>
      <c r="E1693" s="1">
        <v>90</v>
      </c>
      <c r="F1693" s="1">
        <v>90</v>
      </c>
    </row>
    <row r="1694" spans="1:6" x14ac:dyDescent="0.2">
      <c r="A1694" s="205">
        <v>0.46789351851851851</v>
      </c>
      <c r="B1694" s="1" t="s">
        <v>1137</v>
      </c>
      <c r="C1694" s="1">
        <v>66</v>
      </c>
      <c r="D1694" s="1" t="s">
        <v>29</v>
      </c>
      <c r="E1694" s="1">
        <v>100</v>
      </c>
      <c r="F1694" s="1">
        <v>100</v>
      </c>
    </row>
    <row r="1695" spans="1:6" x14ac:dyDescent="0.2">
      <c r="A1695" s="205">
        <v>0.46909722222222222</v>
      </c>
      <c r="B1695" s="1" t="s">
        <v>1013</v>
      </c>
      <c r="C1695" s="1">
        <v>59</v>
      </c>
      <c r="D1695" s="1" t="s">
        <v>29</v>
      </c>
      <c r="E1695" s="1">
        <v>105</v>
      </c>
      <c r="F1695" s="1">
        <v>105</v>
      </c>
    </row>
    <row r="1696" spans="1:6" x14ac:dyDescent="0.2">
      <c r="A1696" s="205">
        <v>0.46978009259259257</v>
      </c>
      <c r="B1696" s="1" t="s">
        <v>1017</v>
      </c>
      <c r="C1696" s="1">
        <v>59</v>
      </c>
      <c r="D1696" s="1" t="s">
        <v>29</v>
      </c>
      <c r="E1696" s="1">
        <v>-105</v>
      </c>
    </row>
    <row r="1697" spans="1:6" x14ac:dyDescent="0.2">
      <c r="A1697" s="205">
        <v>0.47068287037037032</v>
      </c>
      <c r="B1697" s="1" t="s">
        <v>1136</v>
      </c>
      <c r="C1697" s="1">
        <v>66</v>
      </c>
      <c r="D1697" s="1" t="s">
        <v>29</v>
      </c>
      <c r="E1697" s="1">
        <v>110</v>
      </c>
      <c r="F1697" s="1">
        <v>110</v>
      </c>
    </row>
    <row r="1698" spans="1:6" x14ac:dyDescent="0.2">
      <c r="A1698" s="205">
        <v>0.47130787037037036</v>
      </c>
      <c r="B1698" s="1" t="s">
        <v>1134</v>
      </c>
      <c r="C1698" s="1">
        <v>66</v>
      </c>
      <c r="D1698" s="1" t="s">
        <v>29</v>
      </c>
      <c r="E1698" s="1">
        <v>115</v>
      </c>
      <c r="F1698" s="1">
        <v>115</v>
      </c>
    </row>
    <row r="1699" spans="1:6" x14ac:dyDescent="0.2">
      <c r="A1699" s="205">
        <v>0.47204861111111113</v>
      </c>
      <c r="B1699" s="1" t="s">
        <v>1138</v>
      </c>
      <c r="C1699" s="1">
        <v>66</v>
      </c>
      <c r="D1699" s="1" t="s">
        <v>29</v>
      </c>
      <c r="E1699" s="1">
        <v>132.5</v>
      </c>
      <c r="F1699" s="1">
        <v>132.5</v>
      </c>
    </row>
    <row r="1700" spans="1:6" x14ac:dyDescent="0.2">
      <c r="A1700" s="205">
        <v>0.47269675925925925</v>
      </c>
      <c r="B1700" s="1" t="s">
        <v>1139</v>
      </c>
      <c r="C1700" s="1">
        <v>74</v>
      </c>
      <c r="D1700" s="1" t="s">
        <v>29</v>
      </c>
      <c r="E1700" s="1">
        <v>140</v>
      </c>
      <c r="F1700" s="1">
        <v>140</v>
      </c>
    </row>
    <row r="1701" spans="1:6" x14ac:dyDescent="0.2">
      <c r="A1701" s="205">
        <v>0.47353009259259254</v>
      </c>
      <c r="B1701" s="1" t="s">
        <v>1151</v>
      </c>
      <c r="C1701" s="1">
        <v>57</v>
      </c>
      <c r="D1701" s="1" t="s">
        <v>33</v>
      </c>
      <c r="E1701" s="1">
        <v>-35</v>
      </c>
      <c r="F1701" s="1">
        <v>25</v>
      </c>
    </row>
    <row r="1702" spans="1:6" x14ac:dyDescent="0.2">
      <c r="A1702" s="205">
        <v>0.47435185185185186</v>
      </c>
      <c r="B1702" s="1" t="s">
        <v>1133</v>
      </c>
      <c r="C1702" s="1">
        <v>72</v>
      </c>
      <c r="D1702" s="1" t="s">
        <v>33</v>
      </c>
      <c r="E1702" s="1">
        <v>55</v>
      </c>
      <c r="F1702" s="1">
        <v>55</v>
      </c>
    </row>
    <row r="1703" spans="1:6" x14ac:dyDescent="0.2">
      <c r="A1703" s="205">
        <v>0.47503472222222221</v>
      </c>
      <c r="B1703" s="1" t="s">
        <v>1135</v>
      </c>
      <c r="C1703" s="1">
        <v>66</v>
      </c>
      <c r="D1703" s="1" t="s">
        <v>33</v>
      </c>
      <c r="E1703" s="1">
        <v>57.5</v>
      </c>
      <c r="F1703" s="1">
        <v>57.5</v>
      </c>
    </row>
    <row r="1704" spans="1:6" x14ac:dyDescent="0.2">
      <c r="A1704" s="205">
        <v>0.47642361111111109</v>
      </c>
      <c r="B1704" s="1" t="s">
        <v>1009</v>
      </c>
      <c r="C1704" s="1">
        <v>52</v>
      </c>
      <c r="D1704" s="1" t="s">
        <v>33</v>
      </c>
      <c r="E1704" s="1">
        <v>70</v>
      </c>
      <c r="F1704" s="1">
        <v>70</v>
      </c>
    </row>
    <row r="1705" spans="1:6" x14ac:dyDescent="0.2">
      <c r="A1705" s="205">
        <v>0.47715277777777776</v>
      </c>
      <c r="B1705" s="1" t="s">
        <v>984</v>
      </c>
      <c r="C1705" s="1">
        <v>66</v>
      </c>
      <c r="D1705" s="1" t="s">
        <v>33</v>
      </c>
      <c r="E1705" s="1">
        <v>80</v>
      </c>
      <c r="F1705" s="1">
        <v>80</v>
      </c>
    </row>
    <row r="1706" spans="1:6" x14ac:dyDescent="0.2">
      <c r="A1706" s="205">
        <v>0.47822916666666665</v>
      </c>
      <c r="B1706" s="1" t="s">
        <v>1131</v>
      </c>
      <c r="C1706" s="1">
        <v>52</v>
      </c>
      <c r="D1706" s="1" t="s">
        <v>33</v>
      </c>
      <c r="E1706" s="1">
        <v>-85</v>
      </c>
      <c r="F1706" s="1">
        <v>80</v>
      </c>
    </row>
    <row r="1707" spans="1:6" x14ac:dyDescent="0.2">
      <c r="A1707" s="205">
        <v>0.47916666666666669</v>
      </c>
      <c r="B1707" s="1" t="s">
        <v>1132</v>
      </c>
      <c r="C1707" s="1">
        <v>57</v>
      </c>
      <c r="D1707" s="1" t="s">
        <v>33</v>
      </c>
      <c r="E1707" s="1">
        <v>100</v>
      </c>
      <c r="F1707" s="1">
        <v>100</v>
      </c>
    </row>
    <row r="1708" spans="1:6" x14ac:dyDescent="0.2">
      <c r="A1708" s="205">
        <v>0.47995370370370366</v>
      </c>
      <c r="B1708" s="1" t="s">
        <v>1017</v>
      </c>
      <c r="C1708" s="1">
        <v>59</v>
      </c>
      <c r="D1708" s="1" t="s">
        <v>33</v>
      </c>
      <c r="E1708" s="1">
        <v>-105</v>
      </c>
    </row>
    <row r="1709" spans="1:6" x14ac:dyDescent="0.2">
      <c r="A1709" s="205">
        <v>0.48076388888888894</v>
      </c>
      <c r="B1709" s="1" t="s">
        <v>1013</v>
      </c>
      <c r="C1709" s="1">
        <v>59</v>
      </c>
      <c r="D1709" s="1" t="s">
        <v>33</v>
      </c>
      <c r="E1709" s="1">
        <v>107.5</v>
      </c>
      <c r="F1709" s="1">
        <v>107.5</v>
      </c>
    </row>
    <row r="1710" spans="1:6" x14ac:dyDescent="0.2">
      <c r="A1710" s="205">
        <v>0.48144675925925928</v>
      </c>
      <c r="B1710" s="1" t="s">
        <v>1137</v>
      </c>
      <c r="C1710" s="1">
        <v>66</v>
      </c>
      <c r="D1710" s="1" t="s">
        <v>33</v>
      </c>
      <c r="E1710" s="1">
        <v>112.5</v>
      </c>
      <c r="F1710" s="1">
        <v>112.5</v>
      </c>
    </row>
    <row r="1711" spans="1:6" x14ac:dyDescent="0.2">
      <c r="A1711" s="205">
        <v>0.48228009259259258</v>
      </c>
      <c r="B1711" s="1" t="s">
        <v>1134</v>
      </c>
      <c r="C1711" s="1">
        <v>66</v>
      </c>
      <c r="D1711" s="1" t="s">
        <v>33</v>
      </c>
      <c r="E1711" s="1">
        <v>120</v>
      </c>
      <c r="F1711" s="1">
        <v>120</v>
      </c>
    </row>
    <row r="1712" spans="1:6" x14ac:dyDescent="0.2">
      <c r="A1712" s="205">
        <v>0.48293981481481479</v>
      </c>
      <c r="B1712" s="1" t="s">
        <v>1136</v>
      </c>
      <c r="C1712" s="1">
        <v>66</v>
      </c>
      <c r="D1712" s="1" t="s">
        <v>33</v>
      </c>
      <c r="E1712" s="1">
        <v>-120</v>
      </c>
      <c r="F1712" s="1">
        <v>110</v>
      </c>
    </row>
    <row r="1713" spans="1:6" x14ac:dyDescent="0.2">
      <c r="A1713" s="205">
        <v>0.48408564814814814</v>
      </c>
      <c r="B1713" s="1" t="s">
        <v>1138</v>
      </c>
      <c r="C1713" s="1">
        <v>66</v>
      </c>
      <c r="D1713" s="1" t="s">
        <v>33</v>
      </c>
      <c r="E1713" s="1">
        <v>147.5</v>
      </c>
      <c r="F1713" s="1">
        <v>147.5</v>
      </c>
    </row>
    <row r="1714" spans="1:6" x14ac:dyDescent="0.2">
      <c r="A1714" s="205">
        <v>0.48471064814814818</v>
      </c>
      <c r="B1714" s="1" t="s">
        <v>1139</v>
      </c>
      <c r="C1714" s="1">
        <v>74</v>
      </c>
      <c r="D1714" s="1" t="s">
        <v>33</v>
      </c>
      <c r="E1714" s="1">
        <v>150</v>
      </c>
      <c r="F1714" s="1">
        <v>150</v>
      </c>
    </row>
    <row r="1715" spans="1:6" x14ac:dyDescent="0.2">
      <c r="A1715" s="205">
        <v>0.48570601851851852</v>
      </c>
      <c r="B1715" s="1" t="s">
        <v>1151</v>
      </c>
      <c r="C1715" s="1">
        <v>57</v>
      </c>
      <c r="D1715" s="1" t="s">
        <v>37</v>
      </c>
      <c r="E1715" s="1">
        <v>-35</v>
      </c>
      <c r="F1715" s="1">
        <v>25</v>
      </c>
    </row>
    <row r="1716" spans="1:6" x14ac:dyDescent="0.2">
      <c r="A1716" s="205">
        <v>0.48688657407407404</v>
      </c>
      <c r="B1716" s="1" t="s">
        <v>1133</v>
      </c>
      <c r="C1716" s="1">
        <v>72</v>
      </c>
      <c r="D1716" s="1" t="s">
        <v>37</v>
      </c>
      <c r="E1716" s="1">
        <v>60</v>
      </c>
      <c r="F1716" s="1">
        <v>60</v>
      </c>
    </row>
    <row r="1717" spans="1:6" x14ac:dyDescent="0.2">
      <c r="A1717" s="205">
        <v>0.48746527777777776</v>
      </c>
      <c r="B1717" s="1" t="s">
        <v>1135</v>
      </c>
      <c r="C1717" s="1">
        <v>66</v>
      </c>
      <c r="D1717" s="1" t="s">
        <v>37</v>
      </c>
      <c r="E1717" s="1">
        <v>-60</v>
      </c>
      <c r="F1717" s="1">
        <v>57.5</v>
      </c>
    </row>
    <row r="1718" spans="1:6" x14ac:dyDescent="0.2">
      <c r="A1718" s="205">
        <v>0.4887037037037037</v>
      </c>
      <c r="B1718" s="1" t="s">
        <v>1009</v>
      </c>
      <c r="C1718" s="1">
        <v>52</v>
      </c>
      <c r="D1718" s="1" t="s">
        <v>37</v>
      </c>
      <c r="E1718" s="1">
        <v>75</v>
      </c>
      <c r="F1718" s="1">
        <v>75</v>
      </c>
    </row>
    <row r="1719" spans="1:6" x14ac:dyDescent="0.2">
      <c r="A1719" s="205">
        <v>0.48980324074074072</v>
      </c>
      <c r="B1719" s="1" t="s">
        <v>1131</v>
      </c>
      <c r="C1719" s="1">
        <v>52</v>
      </c>
      <c r="D1719" s="1" t="s">
        <v>37</v>
      </c>
      <c r="E1719" s="1">
        <v>-87.5</v>
      </c>
      <c r="F1719" s="1">
        <v>80</v>
      </c>
    </row>
    <row r="1720" spans="1:6" x14ac:dyDescent="0.2">
      <c r="A1720" s="205">
        <v>0.4904513888888889</v>
      </c>
      <c r="B1720" s="1" t="s">
        <v>984</v>
      </c>
      <c r="C1720" s="1">
        <v>66</v>
      </c>
      <c r="D1720" s="1" t="s">
        <v>37</v>
      </c>
      <c r="E1720" s="1">
        <v>-87.5</v>
      </c>
      <c r="F1720" s="1">
        <v>80</v>
      </c>
    </row>
    <row r="1721" spans="1:6" x14ac:dyDescent="0.2">
      <c r="A1721" s="205">
        <v>0.49129629629629629</v>
      </c>
      <c r="B1721" s="1" t="s">
        <v>1017</v>
      </c>
      <c r="C1721" s="1">
        <v>59</v>
      </c>
      <c r="D1721" s="1" t="s">
        <v>37</v>
      </c>
      <c r="E1721" s="1">
        <v>105</v>
      </c>
      <c r="F1721" s="1">
        <v>105</v>
      </c>
    </row>
    <row r="1722" spans="1:6" x14ac:dyDescent="0.2">
      <c r="A1722" s="205">
        <v>0.49273148148148144</v>
      </c>
      <c r="B1722" s="1" t="s">
        <v>1132</v>
      </c>
      <c r="C1722" s="1">
        <v>57</v>
      </c>
      <c r="D1722" s="1" t="s">
        <v>37</v>
      </c>
      <c r="E1722" s="1">
        <v>106</v>
      </c>
      <c r="F1722" s="1">
        <v>106</v>
      </c>
    </row>
    <row r="1723" spans="1:6" x14ac:dyDescent="0.2">
      <c r="A1723" s="205">
        <v>0.49351851851851852</v>
      </c>
      <c r="B1723" s="1" t="s">
        <v>1013</v>
      </c>
      <c r="C1723" s="1">
        <v>59</v>
      </c>
      <c r="D1723" s="1" t="s">
        <v>37</v>
      </c>
      <c r="E1723" s="1">
        <v>110</v>
      </c>
      <c r="F1723" s="1">
        <v>110</v>
      </c>
    </row>
    <row r="1724" spans="1:6" x14ac:dyDescent="0.2">
      <c r="A1724" s="205">
        <v>0.49431712962962965</v>
      </c>
      <c r="B1724" s="1" t="s">
        <v>1136</v>
      </c>
      <c r="C1724" s="1">
        <v>66</v>
      </c>
      <c r="D1724" s="1" t="s">
        <v>37</v>
      </c>
      <c r="E1724" s="1">
        <v>120</v>
      </c>
      <c r="F1724" s="1">
        <v>120</v>
      </c>
    </row>
    <row r="1725" spans="1:6" x14ac:dyDescent="0.2">
      <c r="A1725" s="205">
        <v>0.4949305555555556</v>
      </c>
      <c r="B1725" s="1" t="s">
        <v>1134</v>
      </c>
      <c r="C1725" s="1">
        <v>66</v>
      </c>
      <c r="D1725" s="1" t="s">
        <v>37</v>
      </c>
      <c r="E1725" s="1">
        <v>-125</v>
      </c>
      <c r="F1725" s="1">
        <v>120</v>
      </c>
    </row>
    <row r="1726" spans="1:6" x14ac:dyDescent="0.2">
      <c r="A1726" s="205">
        <v>0.49563657407407408</v>
      </c>
      <c r="B1726" s="1" t="s">
        <v>1137</v>
      </c>
      <c r="C1726" s="1">
        <v>66</v>
      </c>
      <c r="D1726" s="1" t="s">
        <v>37</v>
      </c>
      <c r="E1726" s="1">
        <v>-130</v>
      </c>
      <c r="F1726" s="1">
        <v>112.5</v>
      </c>
    </row>
    <row r="1727" spans="1:6" x14ac:dyDescent="0.2">
      <c r="A1727" s="205">
        <v>0.49652777777777773</v>
      </c>
      <c r="B1727" s="1" t="s">
        <v>1138</v>
      </c>
      <c r="C1727" s="1">
        <v>66</v>
      </c>
      <c r="D1727" s="1" t="s">
        <v>37</v>
      </c>
      <c r="E1727" s="1">
        <v>150</v>
      </c>
      <c r="F1727" s="1">
        <v>150</v>
      </c>
    </row>
    <row r="1728" spans="1:6" x14ac:dyDescent="0.2">
      <c r="A1728" s="205">
        <v>0.49738425925925928</v>
      </c>
      <c r="B1728" s="1" t="s">
        <v>1139</v>
      </c>
      <c r="C1728" s="1">
        <v>74</v>
      </c>
      <c r="D1728" s="1" t="s">
        <v>37</v>
      </c>
      <c r="E1728" s="1">
        <v>160</v>
      </c>
      <c r="F1728" s="1">
        <v>160</v>
      </c>
    </row>
    <row r="1729" spans="1:6" x14ac:dyDescent="0.2">
      <c r="A1729" s="205">
        <v>0.49991898148148151</v>
      </c>
      <c r="B1729" s="1" t="s">
        <v>1146</v>
      </c>
      <c r="C1729" s="1">
        <v>74</v>
      </c>
      <c r="D1729" s="1" t="s">
        <v>29</v>
      </c>
      <c r="E1729" s="1">
        <v>40</v>
      </c>
      <c r="F1729" s="1">
        <v>40</v>
      </c>
    </row>
    <row r="1730" spans="1:6" x14ac:dyDescent="0.2">
      <c r="A1730" s="205">
        <v>0.50064814814814818</v>
      </c>
      <c r="B1730" s="1" t="s">
        <v>1032</v>
      </c>
      <c r="C1730" s="1">
        <v>74</v>
      </c>
      <c r="D1730" s="1" t="s">
        <v>29</v>
      </c>
      <c r="E1730" s="1">
        <v>-65</v>
      </c>
    </row>
    <row r="1731" spans="1:6" x14ac:dyDescent="0.2">
      <c r="A1731" s="205">
        <v>0.50126157407407412</v>
      </c>
      <c r="B1731" s="1" t="s">
        <v>1147</v>
      </c>
      <c r="C1731" s="1">
        <v>74</v>
      </c>
      <c r="D1731" s="1" t="s">
        <v>29</v>
      </c>
      <c r="E1731" s="1">
        <v>70</v>
      </c>
      <c r="F1731" s="1">
        <v>70</v>
      </c>
    </row>
    <row r="1732" spans="1:6" x14ac:dyDescent="0.2">
      <c r="A1732" s="205">
        <v>0.50214120370370374</v>
      </c>
      <c r="B1732" s="1" t="s">
        <v>1036</v>
      </c>
      <c r="C1732" s="1">
        <v>74</v>
      </c>
      <c r="D1732" s="1" t="s">
        <v>29</v>
      </c>
      <c r="E1732" s="1">
        <v>100</v>
      </c>
      <c r="F1732" s="1">
        <v>100</v>
      </c>
    </row>
    <row r="1733" spans="1:6" x14ac:dyDescent="0.2">
      <c r="A1733" s="205">
        <v>0.5028125</v>
      </c>
      <c r="B1733" s="1" t="s">
        <v>1144</v>
      </c>
      <c r="C1733" s="1">
        <v>74</v>
      </c>
      <c r="D1733" s="1" t="s">
        <v>29</v>
      </c>
      <c r="E1733" s="1">
        <v>100</v>
      </c>
      <c r="F1733" s="1">
        <v>100</v>
      </c>
    </row>
    <row r="1734" spans="1:6" x14ac:dyDescent="0.2">
      <c r="A1734" s="205">
        <v>0.50336805555555553</v>
      </c>
      <c r="B1734" s="1" t="s">
        <v>1149</v>
      </c>
      <c r="C1734" s="1">
        <v>74</v>
      </c>
      <c r="D1734" s="1" t="s">
        <v>29</v>
      </c>
      <c r="E1734" s="1">
        <v>100</v>
      </c>
      <c r="F1734" s="1">
        <v>100</v>
      </c>
    </row>
    <row r="1735" spans="1:6" x14ac:dyDescent="0.2">
      <c r="A1735" s="205">
        <v>0.50434027777777779</v>
      </c>
      <c r="B1735" s="1" t="s">
        <v>1143</v>
      </c>
      <c r="C1735" s="1">
        <v>74</v>
      </c>
      <c r="D1735" s="1" t="s">
        <v>29</v>
      </c>
      <c r="E1735" s="1">
        <v>105</v>
      </c>
      <c r="F1735" s="1">
        <v>105</v>
      </c>
    </row>
    <row r="1736" spans="1:6" x14ac:dyDescent="0.2">
      <c r="A1736" s="205">
        <v>0.50493055555555555</v>
      </c>
      <c r="B1736" s="1" t="s">
        <v>1029</v>
      </c>
      <c r="C1736" s="1">
        <v>74</v>
      </c>
      <c r="D1736" s="1" t="s">
        <v>29</v>
      </c>
      <c r="E1736" s="1">
        <v>110</v>
      </c>
      <c r="F1736" s="1">
        <v>110</v>
      </c>
    </row>
    <row r="1737" spans="1:6" x14ac:dyDescent="0.2">
      <c r="A1737" s="205">
        <v>0.50571759259259264</v>
      </c>
      <c r="B1737" s="1" t="s">
        <v>1141</v>
      </c>
      <c r="C1737" s="1">
        <v>74</v>
      </c>
      <c r="D1737" s="1" t="s">
        <v>29</v>
      </c>
      <c r="E1737" s="1">
        <v>115</v>
      </c>
      <c r="F1737" s="1">
        <v>115</v>
      </c>
    </row>
    <row r="1738" spans="1:6" x14ac:dyDescent="0.2">
      <c r="A1738" s="205">
        <v>0.50634259259259262</v>
      </c>
      <c r="B1738" s="1" t="s">
        <v>1140</v>
      </c>
      <c r="C1738" s="1">
        <v>74</v>
      </c>
      <c r="D1738" s="1" t="s">
        <v>29</v>
      </c>
      <c r="E1738" s="1">
        <v>125</v>
      </c>
      <c r="F1738" s="1">
        <v>125</v>
      </c>
    </row>
    <row r="1739" spans="1:6" x14ac:dyDescent="0.2">
      <c r="A1739" s="205">
        <v>0.50697916666666665</v>
      </c>
      <c r="B1739" s="1" t="s">
        <v>1142</v>
      </c>
      <c r="C1739" s="1">
        <v>74</v>
      </c>
      <c r="D1739" s="1" t="s">
        <v>29</v>
      </c>
      <c r="E1739" s="1">
        <v>125</v>
      </c>
      <c r="F1739" s="1">
        <v>125</v>
      </c>
    </row>
    <row r="1740" spans="1:6" x14ac:dyDescent="0.2">
      <c r="A1740" s="205">
        <v>0.50754629629629633</v>
      </c>
      <c r="B1740" s="1" t="s">
        <v>1145</v>
      </c>
      <c r="C1740" s="1">
        <v>74</v>
      </c>
      <c r="D1740" s="1" t="s">
        <v>29</v>
      </c>
      <c r="E1740" s="1">
        <v>130</v>
      </c>
      <c r="F1740" s="1">
        <v>130</v>
      </c>
    </row>
    <row r="1741" spans="1:6" x14ac:dyDescent="0.2">
      <c r="A1741" s="205">
        <v>0.50822916666666662</v>
      </c>
      <c r="B1741" s="1" t="s">
        <v>1148</v>
      </c>
      <c r="C1741" s="1">
        <v>74</v>
      </c>
      <c r="D1741" s="1" t="s">
        <v>29</v>
      </c>
      <c r="E1741" s="1">
        <v>-130</v>
      </c>
    </row>
    <row r="1742" spans="1:6" x14ac:dyDescent="0.2">
      <c r="A1742" s="205">
        <v>0.50888888888888884</v>
      </c>
      <c r="B1742" s="1" t="s">
        <v>1150</v>
      </c>
      <c r="C1742" s="1">
        <v>74</v>
      </c>
      <c r="D1742" s="1" t="s">
        <v>29</v>
      </c>
      <c r="E1742" s="1">
        <v>130</v>
      </c>
      <c r="F1742" s="1">
        <v>130</v>
      </c>
    </row>
    <row r="1743" spans="1:6" x14ac:dyDescent="0.2">
      <c r="A1743" s="205">
        <v>0.50972222222222219</v>
      </c>
      <c r="B1743" s="1" t="s">
        <v>1031</v>
      </c>
      <c r="C1743" s="1">
        <v>74</v>
      </c>
      <c r="D1743" s="1" t="s">
        <v>29</v>
      </c>
      <c r="E1743" s="1">
        <v>130</v>
      </c>
      <c r="F1743" s="1">
        <v>130</v>
      </c>
    </row>
    <row r="1744" spans="1:6" x14ac:dyDescent="0.2">
      <c r="A1744" s="205">
        <v>0.51081018518518517</v>
      </c>
      <c r="B1744" s="1" t="s">
        <v>1023</v>
      </c>
      <c r="C1744" s="1">
        <v>74</v>
      </c>
      <c r="D1744" s="1" t="s">
        <v>29</v>
      </c>
      <c r="E1744" s="1">
        <v>160</v>
      </c>
      <c r="F1744" s="1">
        <v>160</v>
      </c>
    </row>
    <row r="1745" spans="1:6" x14ac:dyDescent="0.2">
      <c r="A1745" s="205">
        <v>0.51158564814814811</v>
      </c>
      <c r="B1745" s="1" t="s">
        <v>1146</v>
      </c>
      <c r="C1745" s="1">
        <v>74</v>
      </c>
      <c r="D1745" s="1" t="s">
        <v>33</v>
      </c>
      <c r="E1745" s="1">
        <v>50</v>
      </c>
      <c r="F1745" s="1">
        <v>50</v>
      </c>
    </row>
    <row r="1746" spans="1:6" x14ac:dyDescent="0.2">
      <c r="A1746" s="205">
        <v>0.51234953703703701</v>
      </c>
      <c r="B1746" s="1" t="s">
        <v>1032</v>
      </c>
      <c r="C1746" s="1">
        <v>74</v>
      </c>
      <c r="D1746" s="1" t="s">
        <v>33</v>
      </c>
      <c r="E1746" s="1">
        <v>65</v>
      </c>
      <c r="F1746" s="1">
        <v>65</v>
      </c>
    </row>
    <row r="1747" spans="1:6" x14ac:dyDescent="0.2">
      <c r="A1747" s="205">
        <v>0.51302083333333337</v>
      </c>
      <c r="B1747" s="1" t="s">
        <v>1147</v>
      </c>
      <c r="C1747" s="1">
        <v>74</v>
      </c>
      <c r="D1747" s="1" t="s">
        <v>33</v>
      </c>
      <c r="E1747" s="1">
        <v>75</v>
      </c>
      <c r="F1747" s="1">
        <v>75</v>
      </c>
    </row>
    <row r="1748" spans="1:6" x14ac:dyDescent="0.2">
      <c r="A1748" s="205">
        <v>0.513738425925926</v>
      </c>
      <c r="B1748" s="1" t="s">
        <v>1036</v>
      </c>
      <c r="C1748" s="1">
        <v>74</v>
      </c>
      <c r="D1748" s="1" t="s">
        <v>33</v>
      </c>
      <c r="E1748" s="1">
        <v>-105</v>
      </c>
      <c r="F1748" s="1">
        <v>100</v>
      </c>
    </row>
    <row r="1749" spans="1:6" x14ac:dyDescent="0.2">
      <c r="A1749" s="205">
        <v>0.51443287037037033</v>
      </c>
      <c r="B1749" s="1" t="s">
        <v>1144</v>
      </c>
      <c r="C1749" s="1">
        <v>74</v>
      </c>
      <c r="D1749" s="1" t="s">
        <v>33</v>
      </c>
      <c r="E1749" s="1">
        <v>105</v>
      </c>
      <c r="F1749" s="1">
        <v>105</v>
      </c>
    </row>
    <row r="1750" spans="1:6" x14ac:dyDescent="0.2">
      <c r="A1750" s="205">
        <v>0.51518518518518519</v>
      </c>
      <c r="B1750" s="1" t="s">
        <v>1149</v>
      </c>
      <c r="C1750" s="1">
        <v>74</v>
      </c>
      <c r="D1750" s="1" t="s">
        <v>33</v>
      </c>
      <c r="E1750" s="1">
        <v>110</v>
      </c>
      <c r="F1750" s="1">
        <v>110</v>
      </c>
    </row>
    <row r="1751" spans="1:6" x14ac:dyDescent="0.2">
      <c r="A1751" s="205">
        <v>0.51598379629629632</v>
      </c>
      <c r="B1751" s="1" t="s">
        <v>1029</v>
      </c>
      <c r="C1751" s="1">
        <v>74</v>
      </c>
      <c r="D1751" s="1" t="s">
        <v>33</v>
      </c>
      <c r="E1751" s="1">
        <v>115</v>
      </c>
      <c r="F1751" s="1">
        <v>115</v>
      </c>
    </row>
    <row r="1752" spans="1:6" x14ac:dyDescent="0.2">
      <c r="A1752" s="205">
        <v>0.51649305555555558</v>
      </c>
      <c r="B1752" s="1" t="s">
        <v>1143</v>
      </c>
      <c r="C1752" s="1">
        <v>74</v>
      </c>
      <c r="D1752" s="1" t="s">
        <v>33</v>
      </c>
      <c r="E1752" s="1">
        <v>115</v>
      </c>
      <c r="F1752" s="1">
        <v>115</v>
      </c>
    </row>
    <row r="1753" spans="1:6" x14ac:dyDescent="0.2">
      <c r="A1753" s="205">
        <v>0.51730324074074074</v>
      </c>
      <c r="B1753" s="1" t="s">
        <v>1141</v>
      </c>
      <c r="C1753" s="1">
        <v>74</v>
      </c>
      <c r="D1753" s="1" t="s">
        <v>33</v>
      </c>
      <c r="E1753" s="1">
        <v>125</v>
      </c>
      <c r="F1753" s="1">
        <v>125</v>
      </c>
    </row>
    <row r="1754" spans="1:6" x14ac:dyDescent="0.2">
      <c r="A1754" s="205">
        <v>0.51782407407407405</v>
      </c>
      <c r="B1754" s="1" t="s">
        <v>1140</v>
      </c>
      <c r="C1754" s="1">
        <v>74</v>
      </c>
      <c r="D1754" s="1" t="s">
        <v>33</v>
      </c>
      <c r="E1754" s="1">
        <v>130</v>
      </c>
      <c r="F1754" s="1">
        <v>130</v>
      </c>
    </row>
    <row r="1755" spans="1:6" x14ac:dyDescent="0.2">
      <c r="A1755" s="205">
        <v>0.51840277777777777</v>
      </c>
      <c r="B1755" s="1" t="s">
        <v>1142</v>
      </c>
      <c r="C1755" s="1">
        <v>74</v>
      </c>
      <c r="D1755" s="1" t="s">
        <v>33</v>
      </c>
      <c r="E1755" s="1">
        <v>130</v>
      </c>
      <c r="F1755" s="1">
        <v>130</v>
      </c>
    </row>
    <row r="1756" spans="1:6" x14ac:dyDescent="0.2">
      <c r="A1756" s="205">
        <v>0.51898148148148149</v>
      </c>
      <c r="B1756" s="1" t="s">
        <v>1148</v>
      </c>
      <c r="C1756" s="1">
        <v>74</v>
      </c>
      <c r="D1756" s="1" t="s">
        <v>33</v>
      </c>
      <c r="E1756" s="1">
        <v>130</v>
      </c>
      <c r="F1756" s="1">
        <v>130</v>
      </c>
    </row>
    <row r="1757" spans="1:6" x14ac:dyDescent="0.2">
      <c r="A1757" s="205">
        <v>0.51965277777777785</v>
      </c>
      <c r="B1757" s="1" t="s">
        <v>1145</v>
      </c>
      <c r="C1757" s="1">
        <v>74</v>
      </c>
      <c r="D1757" s="1" t="s">
        <v>33</v>
      </c>
      <c r="E1757" s="1">
        <v>140</v>
      </c>
      <c r="F1757" s="1">
        <v>140</v>
      </c>
    </row>
    <row r="1758" spans="1:6" x14ac:dyDescent="0.2">
      <c r="A1758" s="205">
        <v>0.52026620370370369</v>
      </c>
      <c r="B1758" s="1" t="s">
        <v>1150</v>
      </c>
      <c r="C1758" s="1">
        <v>74</v>
      </c>
      <c r="D1758" s="1" t="s">
        <v>33</v>
      </c>
      <c r="E1758" s="1">
        <v>140</v>
      </c>
      <c r="F1758" s="1">
        <v>140</v>
      </c>
    </row>
    <row r="1759" spans="1:6" x14ac:dyDescent="0.2">
      <c r="A1759" s="205">
        <v>0.5211689814814815</v>
      </c>
      <c r="B1759" s="1" t="s">
        <v>1031</v>
      </c>
      <c r="C1759" s="1">
        <v>74</v>
      </c>
      <c r="D1759" s="1" t="s">
        <v>33</v>
      </c>
      <c r="E1759" s="1">
        <v>-140</v>
      </c>
      <c r="F1759" s="1">
        <v>130</v>
      </c>
    </row>
    <row r="1760" spans="1:6" x14ac:dyDescent="0.2">
      <c r="A1760" s="205">
        <v>0.52216435185185184</v>
      </c>
      <c r="B1760" s="1" t="s">
        <v>1023</v>
      </c>
      <c r="C1760" s="1">
        <v>74</v>
      </c>
      <c r="D1760" s="1" t="s">
        <v>33</v>
      </c>
      <c r="E1760" s="1">
        <v>170</v>
      </c>
      <c r="F1760" s="1">
        <v>170</v>
      </c>
    </row>
    <row r="1761" spans="1:6" x14ac:dyDescent="0.2">
      <c r="A1761" s="205">
        <v>0.52280092592592597</v>
      </c>
      <c r="B1761" s="1" t="s">
        <v>1146</v>
      </c>
      <c r="C1761" s="1">
        <v>74</v>
      </c>
      <c r="D1761" s="1" t="s">
        <v>37</v>
      </c>
      <c r="E1761" s="1">
        <v>-55</v>
      </c>
      <c r="F1761" s="1">
        <v>50</v>
      </c>
    </row>
    <row r="1762" spans="1:6" x14ac:dyDescent="0.2">
      <c r="A1762" s="205">
        <v>0.52363425925925922</v>
      </c>
      <c r="B1762" s="1" t="s">
        <v>1032</v>
      </c>
      <c r="C1762" s="1">
        <v>74</v>
      </c>
      <c r="D1762" s="1" t="s">
        <v>37</v>
      </c>
      <c r="E1762" s="1">
        <v>75</v>
      </c>
      <c r="F1762" s="1">
        <v>75</v>
      </c>
    </row>
    <row r="1763" spans="1:6" x14ac:dyDescent="0.2">
      <c r="A1763" s="205">
        <v>0.52432870370370377</v>
      </c>
      <c r="B1763" s="1" t="s">
        <v>1147</v>
      </c>
      <c r="C1763" s="1">
        <v>74</v>
      </c>
      <c r="D1763" s="1" t="s">
        <v>37</v>
      </c>
      <c r="E1763" s="1">
        <v>82.5</v>
      </c>
      <c r="F1763" s="1">
        <v>82.5</v>
      </c>
    </row>
    <row r="1764" spans="1:6" x14ac:dyDescent="0.2">
      <c r="A1764" s="205">
        <v>0.52506944444444448</v>
      </c>
      <c r="B1764" s="1" t="s">
        <v>1036</v>
      </c>
      <c r="C1764" s="1">
        <v>74</v>
      </c>
      <c r="D1764" s="1" t="s">
        <v>37</v>
      </c>
      <c r="E1764" s="1">
        <v>105</v>
      </c>
      <c r="F1764" s="1">
        <v>105</v>
      </c>
    </row>
    <row r="1765" spans="1:6" x14ac:dyDescent="0.2">
      <c r="A1765" s="205">
        <v>0.52590277777777772</v>
      </c>
      <c r="B1765" s="1" t="s">
        <v>1144</v>
      </c>
      <c r="C1765" s="1">
        <v>74</v>
      </c>
      <c r="D1765" s="1" t="s">
        <v>37</v>
      </c>
      <c r="E1765" s="1">
        <v>112.5</v>
      </c>
      <c r="F1765" s="1">
        <v>112.5</v>
      </c>
    </row>
    <row r="1766" spans="1:6" x14ac:dyDescent="0.2">
      <c r="A1766" s="205">
        <v>0.52681712962962968</v>
      </c>
      <c r="B1766" s="1" t="s">
        <v>1143</v>
      </c>
      <c r="C1766" s="1">
        <v>74</v>
      </c>
      <c r="D1766" s="1" t="s">
        <v>37</v>
      </c>
      <c r="E1766" s="1">
        <v>120</v>
      </c>
      <c r="F1766" s="1">
        <v>120</v>
      </c>
    </row>
    <row r="1767" spans="1:6" x14ac:dyDescent="0.2">
      <c r="A1767" s="205">
        <v>0.5273958333333334</v>
      </c>
      <c r="B1767" s="1" t="s">
        <v>1149</v>
      </c>
      <c r="C1767" s="1">
        <v>74</v>
      </c>
      <c r="D1767" s="1" t="s">
        <v>37</v>
      </c>
      <c r="E1767" s="1">
        <v>120</v>
      </c>
      <c r="F1767" s="1">
        <v>120</v>
      </c>
    </row>
    <row r="1768" spans="1:6" x14ac:dyDescent="0.2">
      <c r="A1768" s="205">
        <v>0.52824074074074068</v>
      </c>
      <c r="B1768" s="1" t="s">
        <v>1029</v>
      </c>
      <c r="C1768" s="1">
        <v>74</v>
      </c>
      <c r="D1768" s="1" t="s">
        <v>37</v>
      </c>
      <c r="E1768" s="1">
        <v>125</v>
      </c>
      <c r="F1768" s="1">
        <v>125</v>
      </c>
    </row>
    <row r="1769" spans="1:6" x14ac:dyDescent="0.2">
      <c r="A1769" s="205">
        <v>0.52905092592592595</v>
      </c>
      <c r="B1769" s="1" t="s">
        <v>1141</v>
      </c>
      <c r="C1769" s="1">
        <v>74</v>
      </c>
      <c r="D1769" s="1" t="s">
        <v>37</v>
      </c>
      <c r="E1769" s="1">
        <v>-132.5</v>
      </c>
      <c r="F1769" s="1">
        <v>125</v>
      </c>
    </row>
    <row r="1770" spans="1:6" x14ac:dyDescent="0.2">
      <c r="A1770" s="205">
        <v>0.52972222222222221</v>
      </c>
      <c r="B1770" s="1" t="s">
        <v>1142</v>
      </c>
      <c r="C1770" s="1">
        <v>74</v>
      </c>
      <c r="D1770" s="1" t="s">
        <v>37</v>
      </c>
      <c r="E1770" s="1">
        <v>-135</v>
      </c>
      <c r="F1770" s="1">
        <v>130</v>
      </c>
    </row>
    <row r="1771" spans="1:6" x14ac:dyDescent="0.2">
      <c r="A1771" s="205">
        <v>0.53032407407407411</v>
      </c>
      <c r="B1771" s="1" t="s">
        <v>1140</v>
      </c>
      <c r="C1771" s="1">
        <v>74</v>
      </c>
      <c r="D1771" s="1" t="s">
        <v>37</v>
      </c>
      <c r="E1771" s="1">
        <v>137.5</v>
      </c>
      <c r="F1771" s="1">
        <v>137.5</v>
      </c>
    </row>
    <row r="1772" spans="1:6" x14ac:dyDescent="0.2">
      <c r="A1772" s="205">
        <v>0.53096064814814814</v>
      </c>
      <c r="B1772" s="1" t="s">
        <v>1148</v>
      </c>
      <c r="C1772" s="1">
        <v>74</v>
      </c>
      <c r="D1772" s="1" t="s">
        <v>37</v>
      </c>
      <c r="E1772" s="1">
        <v>142.5</v>
      </c>
      <c r="F1772" s="1">
        <v>142.5</v>
      </c>
    </row>
    <row r="1773" spans="1:6" x14ac:dyDescent="0.2">
      <c r="A1773" s="205">
        <v>0.53230324074074076</v>
      </c>
      <c r="B1773" s="1" t="s">
        <v>1031</v>
      </c>
      <c r="C1773" s="1">
        <v>74</v>
      </c>
      <c r="D1773" s="1" t="s">
        <v>37</v>
      </c>
      <c r="E1773" s="1">
        <v>-145</v>
      </c>
      <c r="F1773" s="1">
        <v>130</v>
      </c>
    </row>
    <row r="1774" spans="1:6" x14ac:dyDescent="0.2">
      <c r="A1774" s="205">
        <v>0.5334606481481482</v>
      </c>
      <c r="B1774" s="1" t="s">
        <v>1150</v>
      </c>
      <c r="C1774" s="1">
        <v>74</v>
      </c>
      <c r="D1774" s="1" t="s">
        <v>37</v>
      </c>
      <c r="E1774" s="1">
        <v>150</v>
      </c>
      <c r="F1774" s="1">
        <v>150</v>
      </c>
    </row>
    <row r="1775" spans="1:6" x14ac:dyDescent="0.2">
      <c r="A1775" s="205">
        <v>0.53414351851851849</v>
      </c>
      <c r="B1775" s="1" t="s">
        <v>1145</v>
      </c>
      <c r="C1775" s="1">
        <v>74</v>
      </c>
      <c r="D1775" s="1" t="s">
        <v>37</v>
      </c>
      <c r="E1775" s="1">
        <v>-152.5</v>
      </c>
      <c r="F1775" s="1">
        <v>140</v>
      </c>
    </row>
    <row r="1776" spans="1:6" x14ac:dyDescent="0.2">
      <c r="A1776" s="205">
        <v>0.53517361111111106</v>
      </c>
      <c r="B1776" s="1" t="s">
        <v>1023</v>
      </c>
      <c r="C1776" s="1">
        <v>74</v>
      </c>
      <c r="D1776" s="1" t="s">
        <v>37</v>
      </c>
      <c r="E1776" s="1">
        <v>175</v>
      </c>
      <c r="F1776" s="1">
        <v>175</v>
      </c>
    </row>
    <row r="1777" spans="1:5" x14ac:dyDescent="0.2">
      <c r="A1777" s="205">
        <v>0.79690972222222223</v>
      </c>
      <c r="B1777" s="1" t="s">
        <v>1164</v>
      </c>
      <c r="C1777" s="1">
        <v>52</v>
      </c>
      <c r="D1777" s="1" t="s">
        <v>27</v>
      </c>
      <c r="E1777" s="1">
        <v>80</v>
      </c>
    </row>
    <row r="1778" spans="1:5" x14ac:dyDescent="0.2">
      <c r="A1778" s="205">
        <v>0.79754629629629636</v>
      </c>
      <c r="B1778" s="1" t="s">
        <v>1155</v>
      </c>
      <c r="C1778" s="1">
        <v>74</v>
      </c>
      <c r="D1778" s="1" t="s">
        <v>27</v>
      </c>
      <c r="E1778" s="1">
        <v>85</v>
      </c>
    </row>
    <row r="1779" spans="1:5" x14ac:dyDescent="0.2">
      <c r="A1779" s="205">
        <v>0.79797453703703702</v>
      </c>
      <c r="B1779" s="1" t="s">
        <v>1166</v>
      </c>
      <c r="C1779" s="1">
        <v>74</v>
      </c>
      <c r="D1779" s="1" t="s">
        <v>27</v>
      </c>
      <c r="E1779" s="1">
        <v>90</v>
      </c>
    </row>
    <row r="1780" spans="1:5" x14ac:dyDescent="0.2">
      <c r="A1780" s="205">
        <v>0.79865740740740743</v>
      </c>
      <c r="B1780" s="1" t="s">
        <v>1165</v>
      </c>
      <c r="C1780" s="1">
        <v>66</v>
      </c>
      <c r="D1780" s="1" t="s">
        <v>27</v>
      </c>
      <c r="E1780" s="1">
        <v>-110</v>
      </c>
    </row>
    <row r="1781" spans="1:5" x14ac:dyDescent="0.2">
      <c r="A1781" s="205">
        <v>0.79951388888888886</v>
      </c>
      <c r="B1781" s="1" t="s">
        <v>1153</v>
      </c>
      <c r="C1781" s="1">
        <v>66</v>
      </c>
      <c r="D1781" s="1" t="s">
        <v>27</v>
      </c>
      <c r="E1781" s="1">
        <v>130</v>
      </c>
    </row>
    <row r="1782" spans="1:5" x14ac:dyDescent="0.2">
      <c r="A1782" s="205">
        <v>0.79994212962962974</v>
      </c>
      <c r="B1782" s="1" t="s">
        <v>1157</v>
      </c>
      <c r="C1782" s="1">
        <v>74</v>
      </c>
      <c r="D1782" s="1" t="s">
        <v>27</v>
      </c>
      <c r="E1782" s="1">
        <v>130</v>
      </c>
    </row>
    <row r="1783" spans="1:5" x14ac:dyDescent="0.2">
      <c r="A1783" s="205">
        <v>0.80062500000000003</v>
      </c>
      <c r="B1783" s="1" t="s">
        <v>1101</v>
      </c>
      <c r="C1783" s="1">
        <v>66</v>
      </c>
      <c r="D1783" s="1" t="s">
        <v>27</v>
      </c>
      <c r="E1783" s="1">
        <v>145</v>
      </c>
    </row>
    <row r="1784" spans="1:5" x14ac:dyDescent="0.2">
      <c r="A1784" s="205">
        <v>0.8013541666666667</v>
      </c>
      <c r="B1784" s="1" t="s">
        <v>1152</v>
      </c>
      <c r="C1784" s="1">
        <v>59</v>
      </c>
      <c r="D1784" s="1" t="s">
        <v>27</v>
      </c>
      <c r="E1784" s="1">
        <v>157.5</v>
      </c>
    </row>
    <row r="1785" spans="1:5" x14ac:dyDescent="0.2">
      <c r="A1785" s="205">
        <v>0.80200231481481488</v>
      </c>
      <c r="B1785" s="1" t="s">
        <v>1156</v>
      </c>
      <c r="C1785" s="1">
        <v>74</v>
      </c>
      <c r="D1785" s="1" t="s">
        <v>27</v>
      </c>
      <c r="E1785" s="1">
        <v>170</v>
      </c>
    </row>
    <row r="1786" spans="1:5" x14ac:dyDescent="0.2">
      <c r="A1786" s="205">
        <v>0.80251157407407403</v>
      </c>
      <c r="B1786" s="1" t="s">
        <v>1159</v>
      </c>
      <c r="C1786" s="1">
        <v>83</v>
      </c>
      <c r="D1786" s="1" t="s">
        <v>27</v>
      </c>
      <c r="E1786" s="1">
        <v>-170</v>
      </c>
    </row>
    <row r="1787" spans="1:5" x14ac:dyDescent="0.2">
      <c r="A1787" s="205">
        <v>0.80385416666666665</v>
      </c>
      <c r="B1787" s="1" t="s">
        <v>1167</v>
      </c>
      <c r="C1787" s="1">
        <v>93</v>
      </c>
      <c r="D1787" s="1" t="s">
        <v>27</v>
      </c>
      <c r="E1787" s="1">
        <v>180</v>
      </c>
    </row>
    <row r="1788" spans="1:5" x14ac:dyDescent="0.2">
      <c r="A1788" s="205">
        <v>0.80453703703703694</v>
      </c>
      <c r="B1788" s="1" t="s">
        <v>1161</v>
      </c>
      <c r="C1788" s="1">
        <v>93</v>
      </c>
      <c r="D1788" s="1" t="s">
        <v>27</v>
      </c>
      <c r="E1788" s="1">
        <v>180</v>
      </c>
    </row>
    <row r="1789" spans="1:5" x14ac:dyDescent="0.2">
      <c r="A1789" s="205">
        <v>0.80533564814814806</v>
      </c>
      <c r="B1789" s="1" t="s">
        <v>1154</v>
      </c>
      <c r="C1789" s="1">
        <v>66</v>
      </c>
      <c r="D1789" s="1" t="s">
        <v>27</v>
      </c>
      <c r="E1789" s="1">
        <v>190</v>
      </c>
    </row>
    <row r="1790" spans="1:5" x14ac:dyDescent="0.2">
      <c r="A1790" s="205">
        <v>0.80590277777777775</v>
      </c>
      <c r="B1790" s="1" t="s">
        <v>1162</v>
      </c>
      <c r="C1790" s="1">
        <v>93</v>
      </c>
      <c r="D1790" s="1" t="s">
        <v>27</v>
      </c>
      <c r="E1790" s="1">
        <v>190</v>
      </c>
    </row>
    <row r="1791" spans="1:5" x14ac:dyDescent="0.2">
      <c r="A1791" s="205">
        <v>0.80660879629629623</v>
      </c>
      <c r="B1791" s="1" t="s">
        <v>1163</v>
      </c>
      <c r="C1791" s="1">
        <v>105</v>
      </c>
      <c r="D1791" s="1" t="s">
        <v>27</v>
      </c>
      <c r="E1791" s="1">
        <v>200</v>
      </c>
    </row>
    <row r="1792" spans="1:5" x14ac:dyDescent="0.2">
      <c r="A1792" s="205">
        <v>0.80795138888888884</v>
      </c>
      <c r="B1792" s="1" t="s">
        <v>1160</v>
      </c>
      <c r="C1792" s="1">
        <v>93</v>
      </c>
      <c r="D1792" s="1" t="s">
        <v>27</v>
      </c>
      <c r="E1792" s="1">
        <v>210</v>
      </c>
    </row>
    <row r="1793" spans="1:6" x14ac:dyDescent="0.2">
      <c r="A1793" s="205">
        <v>0.80915509259259266</v>
      </c>
      <c r="B1793" s="1" t="s">
        <v>1158</v>
      </c>
      <c r="C1793" s="1">
        <v>83</v>
      </c>
      <c r="D1793" s="1" t="s">
        <v>27</v>
      </c>
      <c r="E1793" s="1">
        <v>235</v>
      </c>
    </row>
    <row r="1794" spans="1:6" x14ac:dyDescent="0.2">
      <c r="A1794" s="205">
        <v>0.81049768518518517</v>
      </c>
      <c r="B1794" s="1" t="s">
        <v>1164</v>
      </c>
      <c r="C1794" s="1">
        <v>52</v>
      </c>
      <c r="D1794" s="1" t="s">
        <v>31</v>
      </c>
      <c r="E1794" s="1">
        <v>90</v>
      </c>
    </row>
    <row r="1795" spans="1:6" x14ac:dyDescent="0.2">
      <c r="A1795" s="205">
        <v>0.8112152777777778</v>
      </c>
      <c r="B1795" s="1" t="s">
        <v>1155</v>
      </c>
      <c r="C1795" s="1">
        <v>74</v>
      </c>
      <c r="D1795" s="1" t="s">
        <v>31</v>
      </c>
      <c r="E1795" s="1">
        <v>95</v>
      </c>
    </row>
    <row r="1796" spans="1:6" x14ac:dyDescent="0.2">
      <c r="A1796" s="205">
        <v>0.81179398148148152</v>
      </c>
      <c r="B1796" s="1" t="s">
        <v>1166</v>
      </c>
      <c r="C1796" s="1">
        <v>74</v>
      </c>
      <c r="D1796" s="1" t="s">
        <v>31</v>
      </c>
      <c r="E1796" s="1">
        <v>-110</v>
      </c>
      <c r="F1796" s="1">
        <v>280</v>
      </c>
    </row>
    <row r="1797" spans="1:6" x14ac:dyDescent="0.2">
      <c r="A1797" s="205">
        <v>0.81236111111111109</v>
      </c>
      <c r="B1797" s="1" t="s">
        <v>1165</v>
      </c>
      <c r="C1797" s="1">
        <v>66</v>
      </c>
      <c r="D1797" s="1" t="s">
        <v>31</v>
      </c>
      <c r="E1797" s="1">
        <v>120</v>
      </c>
    </row>
    <row r="1798" spans="1:6" x14ac:dyDescent="0.2">
      <c r="A1798" s="205">
        <v>0.81314814814814806</v>
      </c>
      <c r="B1798" s="1" t="s">
        <v>1153</v>
      </c>
      <c r="C1798" s="1">
        <v>66</v>
      </c>
      <c r="D1798" s="1" t="s">
        <v>31</v>
      </c>
      <c r="E1798" s="1">
        <v>140</v>
      </c>
    </row>
    <row r="1799" spans="1:6" x14ac:dyDescent="0.2">
      <c r="A1799" s="205">
        <v>0.81365740740740744</v>
      </c>
      <c r="B1799" s="1" t="s">
        <v>1157</v>
      </c>
      <c r="C1799" s="1">
        <v>74</v>
      </c>
      <c r="D1799" s="1" t="s">
        <v>31</v>
      </c>
      <c r="E1799" s="1">
        <v>140</v>
      </c>
    </row>
    <row r="1800" spans="1:6" x14ac:dyDescent="0.2">
      <c r="A1800" s="205">
        <v>0.81439814814814815</v>
      </c>
      <c r="B1800" s="1" t="s">
        <v>1101</v>
      </c>
      <c r="C1800" s="1">
        <v>66</v>
      </c>
      <c r="D1800" s="1" t="s">
        <v>31</v>
      </c>
      <c r="E1800" s="1">
        <v>-150</v>
      </c>
      <c r="F1800" s="1">
        <v>425</v>
      </c>
    </row>
    <row r="1801" spans="1:6" x14ac:dyDescent="0.2">
      <c r="A1801" s="205">
        <v>0.81537037037037041</v>
      </c>
      <c r="B1801" s="1" t="s">
        <v>1152</v>
      </c>
      <c r="C1801" s="1">
        <v>59</v>
      </c>
      <c r="D1801" s="1" t="s">
        <v>31</v>
      </c>
      <c r="E1801" s="1">
        <v>167.5</v>
      </c>
    </row>
    <row r="1802" spans="1:6" x14ac:dyDescent="0.2">
      <c r="A1802" s="205">
        <v>0.81604166666666667</v>
      </c>
      <c r="B1802" s="1" t="s">
        <v>1156</v>
      </c>
      <c r="C1802" s="1">
        <v>74</v>
      </c>
      <c r="D1802" s="1" t="s">
        <v>31</v>
      </c>
      <c r="E1802" s="1">
        <v>180</v>
      </c>
    </row>
    <row r="1803" spans="1:6" x14ac:dyDescent="0.2">
      <c r="A1803" s="205">
        <v>0.81652777777777785</v>
      </c>
      <c r="B1803" s="1" t="s">
        <v>1159</v>
      </c>
      <c r="C1803" s="1">
        <v>83</v>
      </c>
      <c r="D1803" s="1" t="s">
        <v>31</v>
      </c>
      <c r="E1803" s="1">
        <v>180</v>
      </c>
    </row>
    <row r="1804" spans="1:6" x14ac:dyDescent="0.2">
      <c r="A1804" s="205">
        <v>0.81737268518518524</v>
      </c>
      <c r="B1804" s="1" t="s">
        <v>1161</v>
      </c>
      <c r="C1804" s="1">
        <v>93</v>
      </c>
      <c r="D1804" s="1" t="s">
        <v>31</v>
      </c>
      <c r="E1804" s="1">
        <v>190</v>
      </c>
    </row>
    <row r="1805" spans="1:6" x14ac:dyDescent="0.2">
      <c r="A1805" s="205">
        <v>0.81807870370370372</v>
      </c>
      <c r="B1805" s="1" t="s">
        <v>1167</v>
      </c>
      <c r="C1805" s="1">
        <v>93</v>
      </c>
      <c r="D1805" s="1" t="s">
        <v>31</v>
      </c>
      <c r="E1805" s="1">
        <v>192.5</v>
      </c>
    </row>
    <row r="1806" spans="1:6" x14ac:dyDescent="0.2">
      <c r="A1806" s="205">
        <v>0.81888888888888889</v>
      </c>
      <c r="B1806" s="1" t="s">
        <v>1162</v>
      </c>
      <c r="C1806" s="1">
        <v>93</v>
      </c>
      <c r="D1806" s="1" t="s">
        <v>31</v>
      </c>
      <c r="E1806" s="1">
        <v>200</v>
      </c>
    </row>
    <row r="1807" spans="1:6" x14ac:dyDescent="0.2">
      <c r="A1807" s="205">
        <v>0.81976851851851851</v>
      </c>
      <c r="B1807" s="1" t="s">
        <v>1154</v>
      </c>
      <c r="C1807" s="1">
        <v>66</v>
      </c>
      <c r="D1807" s="1" t="s">
        <v>31</v>
      </c>
      <c r="E1807" s="1">
        <v>205</v>
      </c>
    </row>
    <row r="1808" spans="1:6" x14ac:dyDescent="0.2">
      <c r="A1808" s="205">
        <v>0.82039351851851849</v>
      </c>
      <c r="B1808" s="1" t="s">
        <v>1163</v>
      </c>
      <c r="C1808" s="1">
        <v>105</v>
      </c>
      <c r="D1808" s="1" t="s">
        <v>31</v>
      </c>
      <c r="E1808" s="1">
        <v>215</v>
      </c>
    </row>
    <row r="1809" spans="1:6" x14ac:dyDescent="0.2">
      <c r="A1809" s="205">
        <v>0.8211342592592592</v>
      </c>
      <c r="B1809" s="1" t="s">
        <v>1160</v>
      </c>
      <c r="C1809" s="1">
        <v>93</v>
      </c>
      <c r="D1809" s="1" t="s">
        <v>31</v>
      </c>
      <c r="E1809" s="1">
        <v>225</v>
      </c>
    </row>
    <row r="1810" spans="1:6" x14ac:dyDescent="0.2">
      <c r="A1810" s="205">
        <v>0.82239583333333333</v>
      </c>
      <c r="B1810" s="1" t="s">
        <v>1158</v>
      </c>
      <c r="C1810" s="1">
        <v>83</v>
      </c>
      <c r="D1810" s="1" t="s">
        <v>31</v>
      </c>
      <c r="E1810" s="1">
        <v>250</v>
      </c>
    </row>
    <row r="1811" spans="1:6" x14ac:dyDescent="0.2">
      <c r="A1811" s="205">
        <v>0.82342592592592589</v>
      </c>
      <c r="B1811" s="1" t="s">
        <v>1164</v>
      </c>
      <c r="C1811" s="1">
        <v>52</v>
      </c>
      <c r="D1811" s="1" t="s">
        <v>35</v>
      </c>
      <c r="E1811" s="1">
        <v>95</v>
      </c>
    </row>
    <row r="1812" spans="1:6" x14ac:dyDescent="0.2">
      <c r="A1812" s="205">
        <v>0.82412037037037045</v>
      </c>
      <c r="B1812" s="1" t="s">
        <v>1155</v>
      </c>
      <c r="C1812" s="1">
        <v>74</v>
      </c>
      <c r="D1812" s="1" t="s">
        <v>35</v>
      </c>
      <c r="E1812" s="1">
        <v>100</v>
      </c>
    </row>
    <row r="1813" spans="1:6" x14ac:dyDescent="0.2">
      <c r="A1813" s="205">
        <v>0.82486111111111116</v>
      </c>
      <c r="B1813" s="1" t="s">
        <v>1166</v>
      </c>
      <c r="C1813" s="1">
        <v>74</v>
      </c>
      <c r="D1813" s="1" t="s">
        <v>35</v>
      </c>
      <c r="E1813" s="1">
        <v>110</v>
      </c>
    </row>
    <row r="1814" spans="1:6" x14ac:dyDescent="0.2">
      <c r="A1814" s="205">
        <v>0.82543981481481488</v>
      </c>
      <c r="B1814" s="1" t="s">
        <v>1165</v>
      </c>
      <c r="C1814" s="1">
        <v>66</v>
      </c>
      <c r="D1814" s="1" t="s">
        <v>35</v>
      </c>
      <c r="E1814" s="1">
        <v>130</v>
      </c>
    </row>
    <row r="1815" spans="1:6" x14ac:dyDescent="0.2">
      <c r="A1815" s="205">
        <v>0.826238425925926</v>
      </c>
      <c r="B1815" s="1" t="s">
        <v>1153</v>
      </c>
      <c r="C1815" s="1">
        <v>66</v>
      </c>
      <c r="D1815" s="1" t="s">
        <v>35</v>
      </c>
      <c r="E1815" s="1">
        <v>150</v>
      </c>
    </row>
    <row r="1816" spans="1:6" x14ac:dyDescent="0.2">
      <c r="A1816" s="205">
        <v>0.82695601851851863</v>
      </c>
      <c r="B1816" s="1" t="s">
        <v>1101</v>
      </c>
      <c r="C1816" s="1">
        <v>66</v>
      </c>
      <c r="D1816" s="1" t="s">
        <v>35</v>
      </c>
      <c r="E1816" s="1">
        <v>-150</v>
      </c>
      <c r="F1816" s="1">
        <v>425</v>
      </c>
    </row>
    <row r="1817" spans="1:6" x14ac:dyDescent="0.2">
      <c r="A1817" s="205">
        <v>0.8278240740740741</v>
      </c>
      <c r="B1817" s="1" t="s">
        <v>1157</v>
      </c>
      <c r="C1817" s="1">
        <v>74</v>
      </c>
      <c r="D1817" s="1" t="s">
        <v>35</v>
      </c>
      <c r="E1817" s="1">
        <v>150</v>
      </c>
    </row>
    <row r="1818" spans="1:6" x14ac:dyDescent="0.2">
      <c r="A1818" s="205">
        <v>0.82854166666666673</v>
      </c>
      <c r="B1818" s="1" t="s">
        <v>1152</v>
      </c>
      <c r="C1818" s="1">
        <v>59</v>
      </c>
      <c r="D1818" s="1" t="s">
        <v>35</v>
      </c>
      <c r="E1818" s="1">
        <v>170</v>
      </c>
    </row>
    <row r="1819" spans="1:6" x14ac:dyDescent="0.2">
      <c r="A1819" s="205">
        <v>0.82920138888888895</v>
      </c>
      <c r="B1819" s="1" t="s">
        <v>1156</v>
      </c>
      <c r="C1819" s="1">
        <v>74</v>
      </c>
      <c r="D1819" s="1" t="s">
        <v>35</v>
      </c>
      <c r="E1819" s="1">
        <v>-195</v>
      </c>
      <c r="F1819" s="1">
        <v>470</v>
      </c>
    </row>
    <row r="1820" spans="1:6" x14ac:dyDescent="0.2">
      <c r="A1820" s="205">
        <v>0.82982638888888882</v>
      </c>
      <c r="B1820" s="1" t="s">
        <v>1161</v>
      </c>
      <c r="C1820" s="1">
        <v>93</v>
      </c>
      <c r="D1820" s="1" t="s">
        <v>35</v>
      </c>
      <c r="E1820" s="1">
        <v>-195</v>
      </c>
      <c r="F1820" s="1">
        <v>505</v>
      </c>
    </row>
    <row r="1821" spans="1:6" x14ac:dyDescent="0.2">
      <c r="A1821" s="205">
        <v>0.83052083333333337</v>
      </c>
      <c r="B1821" s="1" t="s">
        <v>1159</v>
      </c>
      <c r="C1821" s="1">
        <v>83</v>
      </c>
      <c r="D1821" s="1" t="s">
        <v>35</v>
      </c>
      <c r="E1821" s="1">
        <v>200</v>
      </c>
    </row>
    <row r="1822" spans="1:6" x14ac:dyDescent="0.2">
      <c r="A1822" s="205">
        <v>0.83124999999999993</v>
      </c>
      <c r="B1822" s="1" t="s">
        <v>1167</v>
      </c>
      <c r="C1822" s="1">
        <v>93</v>
      </c>
      <c r="D1822" s="1" t="s">
        <v>35</v>
      </c>
      <c r="E1822" s="1">
        <v>200</v>
      </c>
    </row>
    <row r="1823" spans="1:6" x14ac:dyDescent="0.2">
      <c r="A1823" s="205">
        <v>0.83196759259259256</v>
      </c>
      <c r="B1823" s="1" t="s">
        <v>1162</v>
      </c>
      <c r="C1823" s="1">
        <v>93</v>
      </c>
      <c r="D1823" s="1" t="s">
        <v>35</v>
      </c>
      <c r="E1823" s="1">
        <v>205</v>
      </c>
    </row>
    <row r="1824" spans="1:6" x14ac:dyDescent="0.2">
      <c r="A1824" s="205">
        <v>0.83282407407407411</v>
      </c>
      <c r="B1824" s="1" t="s">
        <v>1154</v>
      </c>
      <c r="C1824" s="1">
        <v>66</v>
      </c>
      <c r="D1824" s="1" t="s">
        <v>35</v>
      </c>
      <c r="E1824" s="1">
        <v>-212.5</v>
      </c>
      <c r="F1824" s="1">
        <v>565</v>
      </c>
    </row>
    <row r="1825" spans="1:5" x14ac:dyDescent="0.2">
      <c r="A1825" s="205">
        <v>0.83370370370370372</v>
      </c>
      <c r="B1825" s="1" t="s">
        <v>1163</v>
      </c>
      <c r="C1825" s="1">
        <v>105</v>
      </c>
      <c r="D1825" s="1" t="s">
        <v>35</v>
      </c>
      <c r="E1825" s="1">
        <v>225</v>
      </c>
    </row>
    <row r="1826" spans="1:5" x14ac:dyDescent="0.2">
      <c r="A1826" s="205">
        <v>0.83445601851851858</v>
      </c>
      <c r="B1826" s="1" t="s">
        <v>1160</v>
      </c>
      <c r="C1826" s="1">
        <v>93</v>
      </c>
      <c r="D1826" s="1" t="s">
        <v>35</v>
      </c>
      <c r="E1826" s="1">
        <v>235</v>
      </c>
    </row>
    <row r="1827" spans="1:5" x14ac:dyDescent="0.2">
      <c r="A1827" s="205">
        <v>0.83539351851851851</v>
      </c>
      <c r="B1827" s="1" t="s">
        <v>1158</v>
      </c>
      <c r="C1827" s="1">
        <v>83</v>
      </c>
      <c r="D1827" s="1" t="s">
        <v>35</v>
      </c>
      <c r="E1827" s="1">
        <v>270</v>
      </c>
    </row>
    <row r="1828" spans="1:5" x14ac:dyDescent="0.2">
      <c r="A1828" s="205">
        <v>0.88575231481481476</v>
      </c>
      <c r="B1828" s="1" t="s">
        <v>1164</v>
      </c>
      <c r="C1828" s="1">
        <v>52</v>
      </c>
      <c r="D1828" s="1" t="s">
        <v>29</v>
      </c>
      <c r="E1828" s="1">
        <v>50</v>
      </c>
    </row>
    <row r="1829" spans="1:5" x14ac:dyDescent="0.2">
      <c r="A1829" s="205">
        <v>0.88641203703703697</v>
      </c>
      <c r="B1829" s="1" t="s">
        <v>1155</v>
      </c>
      <c r="C1829" s="1">
        <v>74</v>
      </c>
      <c r="D1829" s="1" t="s">
        <v>29</v>
      </c>
      <c r="E1829" s="1">
        <v>50</v>
      </c>
    </row>
    <row r="1830" spans="1:5" x14ac:dyDescent="0.2">
      <c r="A1830" s="205">
        <v>0.88715277777777779</v>
      </c>
      <c r="B1830" s="1" t="s">
        <v>1166</v>
      </c>
      <c r="C1830" s="1">
        <v>74</v>
      </c>
      <c r="D1830" s="1" t="s">
        <v>29</v>
      </c>
      <c r="E1830" s="1">
        <v>80</v>
      </c>
    </row>
    <row r="1831" spans="1:5" x14ac:dyDescent="0.2">
      <c r="A1831" s="205">
        <v>0.88774305555555555</v>
      </c>
      <c r="B1831" s="1" t="s">
        <v>1165</v>
      </c>
      <c r="C1831" s="1">
        <v>66</v>
      </c>
      <c r="D1831" s="1" t="s">
        <v>29</v>
      </c>
      <c r="E1831" s="1">
        <v>100</v>
      </c>
    </row>
    <row r="1832" spans="1:5" x14ac:dyDescent="0.2">
      <c r="A1832" s="205">
        <v>0.88832175925925927</v>
      </c>
      <c r="B1832" s="1" t="s">
        <v>1157</v>
      </c>
      <c r="C1832" s="1">
        <v>74</v>
      </c>
      <c r="D1832" s="1" t="s">
        <v>29</v>
      </c>
      <c r="E1832" s="1">
        <v>100</v>
      </c>
    </row>
    <row r="1833" spans="1:5" x14ac:dyDescent="0.2">
      <c r="A1833" s="205">
        <v>0.88905092592592594</v>
      </c>
      <c r="B1833" s="1" t="s">
        <v>1152</v>
      </c>
      <c r="C1833" s="1">
        <v>59</v>
      </c>
      <c r="D1833" s="1" t="s">
        <v>29</v>
      </c>
      <c r="E1833" s="1">
        <v>102.5</v>
      </c>
    </row>
    <row r="1834" spans="1:5" x14ac:dyDescent="0.2">
      <c r="A1834" s="205">
        <v>0.88983796296296302</v>
      </c>
      <c r="B1834" s="1" t="s">
        <v>1101</v>
      </c>
      <c r="C1834" s="1">
        <v>66</v>
      </c>
      <c r="D1834" s="1" t="s">
        <v>29</v>
      </c>
      <c r="E1834" s="1">
        <v>110</v>
      </c>
    </row>
    <row r="1835" spans="1:5" x14ac:dyDescent="0.2">
      <c r="A1835" s="205">
        <v>0.89049768518518524</v>
      </c>
      <c r="B1835" s="1" t="s">
        <v>1156</v>
      </c>
      <c r="C1835" s="1">
        <v>74</v>
      </c>
      <c r="D1835" s="1" t="s">
        <v>29</v>
      </c>
      <c r="E1835" s="1">
        <v>110</v>
      </c>
    </row>
    <row r="1836" spans="1:5" x14ac:dyDescent="0.2">
      <c r="A1836" s="205">
        <v>0.8913888888888889</v>
      </c>
      <c r="B1836" s="1" t="s">
        <v>1153</v>
      </c>
      <c r="C1836" s="1">
        <v>66</v>
      </c>
      <c r="D1836" s="1" t="s">
        <v>29</v>
      </c>
      <c r="E1836" s="1">
        <v>115</v>
      </c>
    </row>
    <row r="1837" spans="1:5" x14ac:dyDescent="0.2">
      <c r="A1837" s="205">
        <v>0.89214120370370376</v>
      </c>
      <c r="B1837" s="1" t="s">
        <v>1167</v>
      </c>
      <c r="C1837" s="1">
        <v>93</v>
      </c>
      <c r="D1837" s="1" t="s">
        <v>29</v>
      </c>
      <c r="E1837" s="1">
        <v>115</v>
      </c>
    </row>
    <row r="1838" spans="1:5" x14ac:dyDescent="0.2">
      <c r="A1838" s="205">
        <v>0.89304398148148145</v>
      </c>
      <c r="B1838" s="1" t="s">
        <v>1162</v>
      </c>
      <c r="C1838" s="1">
        <v>93</v>
      </c>
      <c r="D1838" s="1" t="s">
        <v>29</v>
      </c>
      <c r="E1838" s="1">
        <v>115</v>
      </c>
    </row>
    <row r="1839" spans="1:5" x14ac:dyDescent="0.2">
      <c r="A1839" s="205">
        <v>0.8936574074074074</v>
      </c>
      <c r="B1839" s="1" t="s">
        <v>1159</v>
      </c>
      <c r="C1839" s="1">
        <v>83</v>
      </c>
      <c r="D1839" s="1" t="s">
        <v>29</v>
      </c>
      <c r="E1839" s="1">
        <v>120</v>
      </c>
    </row>
    <row r="1840" spans="1:5" x14ac:dyDescent="0.2">
      <c r="A1840" s="205">
        <v>0.89423611111111112</v>
      </c>
      <c r="B1840" s="1" t="s">
        <v>1160</v>
      </c>
      <c r="C1840" s="1">
        <v>93</v>
      </c>
      <c r="D1840" s="1" t="s">
        <v>29</v>
      </c>
      <c r="E1840" s="1">
        <v>120</v>
      </c>
    </row>
    <row r="1841" spans="1:5" x14ac:dyDescent="0.2">
      <c r="A1841" s="205">
        <v>0.89498842592592587</v>
      </c>
      <c r="B1841" s="1" t="s">
        <v>1161</v>
      </c>
      <c r="C1841" s="1">
        <v>93</v>
      </c>
      <c r="D1841" s="1" t="s">
        <v>29</v>
      </c>
      <c r="E1841" s="1">
        <v>130</v>
      </c>
    </row>
    <row r="1842" spans="1:5" x14ac:dyDescent="0.2">
      <c r="A1842" s="205">
        <v>0.89586805555555549</v>
      </c>
      <c r="B1842" s="1" t="s">
        <v>1154</v>
      </c>
      <c r="C1842" s="1">
        <v>66</v>
      </c>
      <c r="D1842" s="1" t="s">
        <v>29</v>
      </c>
      <c r="E1842" s="1">
        <v>-140</v>
      </c>
    </row>
    <row r="1843" spans="1:5" x14ac:dyDescent="0.2">
      <c r="A1843" s="205">
        <v>0.89657407407407408</v>
      </c>
      <c r="B1843" s="1" t="s">
        <v>1163</v>
      </c>
      <c r="C1843" s="1">
        <v>105</v>
      </c>
      <c r="D1843" s="1" t="s">
        <v>29</v>
      </c>
      <c r="E1843" s="1">
        <v>-165</v>
      </c>
    </row>
    <row r="1844" spans="1:5" x14ac:dyDescent="0.2">
      <c r="A1844" s="205">
        <v>0.89749999999999996</v>
      </c>
      <c r="B1844" s="1" t="s">
        <v>1158</v>
      </c>
      <c r="C1844" s="1">
        <v>83</v>
      </c>
      <c r="D1844" s="1" t="s">
        <v>29</v>
      </c>
      <c r="E1844" s="1">
        <v>180</v>
      </c>
    </row>
    <row r="1845" spans="1:5" x14ac:dyDescent="0.2">
      <c r="A1845" s="205">
        <v>0.89769675925925929</v>
      </c>
      <c r="B1845" s="1" t="s">
        <v>1158</v>
      </c>
      <c r="C1845" s="1">
        <v>83</v>
      </c>
      <c r="D1845" s="1" t="s">
        <v>29</v>
      </c>
      <c r="E1845" s="1">
        <v>180</v>
      </c>
    </row>
    <row r="1846" spans="1:5" x14ac:dyDescent="0.2">
      <c r="A1846" s="205">
        <v>0.8989583333333333</v>
      </c>
      <c r="B1846" s="1" t="s">
        <v>1164</v>
      </c>
      <c r="C1846" s="1">
        <v>52</v>
      </c>
      <c r="D1846" s="1" t="s">
        <v>33</v>
      </c>
      <c r="E1846" s="1">
        <v>55</v>
      </c>
    </row>
    <row r="1847" spans="1:5" x14ac:dyDescent="0.2">
      <c r="A1847" s="205">
        <v>0.89953703703703702</v>
      </c>
      <c r="B1847" s="1" t="s">
        <v>1155</v>
      </c>
      <c r="C1847" s="1">
        <v>74</v>
      </c>
      <c r="D1847" s="1" t="s">
        <v>33</v>
      </c>
      <c r="E1847" s="1">
        <v>55</v>
      </c>
    </row>
    <row r="1848" spans="1:5" x14ac:dyDescent="0.2">
      <c r="A1848" s="205">
        <v>0.90031250000000007</v>
      </c>
      <c r="B1848" s="1" t="s">
        <v>1166</v>
      </c>
      <c r="C1848" s="1">
        <v>74</v>
      </c>
      <c r="D1848" s="1" t="s">
        <v>33</v>
      </c>
      <c r="E1848" s="1">
        <v>90</v>
      </c>
    </row>
    <row r="1849" spans="1:5" x14ac:dyDescent="0.2">
      <c r="A1849" s="205">
        <v>0.90087962962962964</v>
      </c>
      <c r="B1849" s="1" t="s">
        <v>1165</v>
      </c>
      <c r="C1849" s="1">
        <v>66</v>
      </c>
      <c r="D1849" s="1" t="s">
        <v>33</v>
      </c>
      <c r="E1849" s="1">
        <v>105</v>
      </c>
    </row>
    <row r="1850" spans="1:5" x14ac:dyDescent="0.2">
      <c r="A1850" s="205">
        <v>0.90195601851851848</v>
      </c>
      <c r="B1850" s="1" t="s">
        <v>1157</v>
      </c>
      <c r="C1850" s="1">
        <v>74</v>
      </c>
      <c r="D1850" s="1" t="s">
        <v>33</v>
      </c>
      <c r="E1850" s="1">
        <v>105</v>
      </c>
    </row>
    <row r="1851" spans="1:5" x14ac:dyDescent="0.2">
      <c r="A1851" s="205">
        <v>0.90265046296296303</v>
      </c>
      <c r="B1851" s="1" t="s">
        <v>1152</v>
      </c>
      <c r="C1851" s="1">
        <v>59</v>
      </c>
      <c r="D1851" s="1" t="s">
        <v>33</v>
      </c>
      <c r="E1851" s="1">
        <v>107.5</v>
      </c>
    </row>
    <row r="1852" spans="1:5" x14ac:dyDescent="0.2">
      <c r="A1852" s="205">
        <v>0.90346064814814808</v>
      </c>
      <c r="B1852" s="1" t="s">
        <v>1101</v>
      </c>
      <c r="C1852" s="1">
        <v>66</v>
      </c>
      <c r="D1852" s="1" t="s">
        <v>33</v>
      </c>
      <c r="E1852" s="1">
        <v>117.5</v>
      </c>
    </row>
    <row r="1853" spans="1:5" x14ac:dyDescent="0.2">
      <c r="A1853" s="205">
        <v>0.90393518518518512</v>
      </c>
      <c r="B1853" s="1" t="s">
        <v>1156</v>
      </c>
      <c r="C1853" s="1">
        <v>74</v>
      </c>
      <c r="D1853" s="1" t="s">
        <v>33</v>
      </c>
      <c r="E1853" s="1">
        <v>120</v>
      </c>
    </row>
    <row r="1854" spans="1:5" x14ac:dyDescent="0.2">
      <c r="A1854" s="205">
        <v>0.90454861111111118</v>
      </c>
      <c r="B1854" s="1" t="s">
        <v>1162</v>
      </c>
      <c r="C1854" s="1">
        <v>93</v>
      </c>
      <c r="D1854" s="1" t="s">
        <v>33</v>
      </c>
      <c r="E1854" s="1">
        <v>120</v>
      </c>
    </row>
    <row r="1855" spans="1:5" x14ac:dyDescent="0.2">
      <c r="A1855" s="205">
        <v>0.90528935185185189</v>
      </c>
      <c r="B1855" s="1" t="s">
        <v>1153</v>
      </c>
      <c r="C1855" s="1">
        <v>66</v>
      </c>
      <c r="D1855" s="1" t="s">
        <v>33</v>
      </c>
      <c r="E1855" s="1">
        <v>125</v>
      </c>
    </row>
    <row r="1856" spans="1:5" x14ac:dyDescent="0.2">
      <c r="A1856" s="205">
        <v>0.90601851851851845</v>
      </c>
      <c r="B1856" s="1" t="s">
        <v>1167</v>
      </c>
      <c r="C1856" s="1">
        <v>93</v>
      </c>
      <c r="D1856" s="1" t="s">
        <v>33</v>
      </c>
      <c r="E1856" s="1">
        <v>125</v>
      </c>
    </row>
    <row r="1857" spans="1:6" x14ac:dyDescent="0.2">
      <c r="A1857" s="205">
        <v>0.90679398148148149</v>
      </c>
      <c r="B1857" s="1" t="s">
        <v>1160</v>
      </c>
      <c r="C1857" s="1">
        <v>93</v>
      </c>
      <c r="D1857" s="1" t="s">
        <v>33</v>
      </c>
      <c r="E1857" s="1">
        <v>127.5</v>
      </c>
    </row>
    <row r="1858" spans="1:6" x14ac:dyDescent="0.2">
      <c r="A1858" s="205">
        <v>0.90744212962962967</v>
      </c>
      <c r="B1858" s="1" t="s">
        <v>1161</v>
      </c>
      <c r="C1858" s="1">
        <v>93</v>
      </c>
      <c r="D1858" s="1" t="s">
        <v>33</v>
      </c>
      <c r="E1858" s="1">
        <v>135</v>
      </c>
    </row>
    <row r="1859" spans="1:6" x14ac:dyDescent="0.2">
      <c r="A1859" s="205">
        <v>0.9084606481481482</v>
      </c>
      <c r="B1859" s="1" t="s">
        <v>1154</v>
      </c>
      <c r="C1859" s="1">
        <v>66</v>
      </c>
      <c r="D1859" s="1" t="s">
        <v>33</v>
      </c>
      <c r="E1859" s="1">
        <v>140</v>
      </c>
    </row>
    <row r="1860" spans="1:6" x14ac:dyDescent="0.2">
      <c r="A1860" s="205">
        <v>0.90927083333333336</v>
      </c>
      <c r="B1860" s="1" t="s">
        <v>1159</v>
      </c>
      <c r="C1860" s="1">
        <v>83</v>
      </c>
      <c r="D1860" s="1" t="s">
        <v>33</v>
      </c>
      <c r="E1860" s="1">
        <v>140</v>
      </c>
    </row>
    <row r="1861" spans="1:6" x14ac:dyDescent="0.2">
      <c r="A1861" s="205">
        <v>0.91003472222222215</v>
      </c>
      <c r="B1861" s="1" t="s">
        <v>1163</v>
      </c>
      <c r="C1861" s="1">
        <v>105</v>
      </c>
      <c r="D1861" s="1" t="s">
        <v>33</v>
      </c>
      <c r="E1861" s="1">
        <v>170</v>
      </c>
    </row>
    <row r="1862" spans="1:6" x14ac:dyDescent="0.2">
      <c r="A1862" s="205">
        <v>0.91108796296296291</v>
      </c>
      <c r="B1862" s="1" t="s">
        <v>1158</v>
      </c>
      <c r="C1862" s="1">
        <v>83</v>
      </c>
      <c r="D1862" s="1" t="s">
        <v>33</v>
      </c>
      <c r="E1862" s="1">
        <v>200</v>
      </c>
    </row>
    <row r="1863" spans="1:6" x14ac:dyDescent="0.2">
      <c r="A1863" s="205">
        <v>0.91122685185185182</v>
      </c>
      <c r="B1863" s="1" t="s">
        <v>1158</v>
      </c>
      <c r="C1863" s="1">
        <v>83</v>
      </c>
      <c r="D1863" s="1" t="s">
        <v>33</v>
      </c>
      <c r="E1863" s="1">
        <v>200</v>
      </c>
    </row>
    <row r="1864" spans="1:6" x14ac:dyDescent="0.2">
      <c r="A1864" s="205">
        <v>0.91237268518518511</v>
      </c>
      <c r="B1864" s="1" t="s">
        <v>1164</v>
      </c>
      <c r="C1864" s="1">
        <v>52</v>
      </c>
      <c r="D1864" s="1" t="s">
        <v>37</v>
      </c>
      <c r="E1864" s="1">
        <v>60</v>
      </c>
    </row>
    <row r="1865" spans="1:6" x14ac:dyDescent="0.2">
      <c r="A1865" s="205">
        <v>0.91310185185185189</v>
      </c>
      <c r="B1865" s="1" t="s">
        <v>1155</v>
      </c>
      <c r="C1865" s="1">
        <v>74</v>
      </c>
      <c r="D1865" s="1" t="s">
        <v>37</v>
      </c>
      <c r="E1865" s="1">
        <v>60</v>
      </c>
    </row>
    <row r="1866" spans="1:6" x14ac:dyDescent="0.2">
      <c r="A1866" s="205">
        <v>0.91381944444444441</v>
      </c>
      <c r="B1866" s="1" t="s">
        <v>1166</v>
      </c>
      <c r="C1866" s="1">
        <v>74</v>
      </c>
      <c r="D1866" s="1" t="s">
        <v>37</v>
      </c>
      <c r="E1866" s="1">
        <v>95</v>
      </c>
    </row>
    <row r="1867" spans="1:6" x14ac:dyDescent="0.2">
      <c r="A1867" s="205">
        <v>0.9146643518518518</v>
      </c>
      <c r="B1867" s="1" t="s">
        <v>1157</v>
      </c>
      <c r="C1867" s="1">
        <v>74</v>
      </c>
      <c r="D1867" s="1" t="s">
        <v>37</v>
      </c>
      <c r="E1867" s="1">
        <v>107.5</v>
      </c>
    </row>
    <row r="1868" spans="1:6" x14ac:dyDescent="0.2">
      <c r="A1868" s="205">
        <v>0.91535879629629635</v>
      </c>
      <c r="B1868" s="1" t="s">
        <v>1152</v>
      </c>
      <c r="C1868" s="1">
        <v>59</v>
      </c>
      <c r="D1868" s="1" t="s">
        <v>37</v>
      </c>
      <c r="E1868" s="1">
        <v>-110</v>
      </c>
      <c r="F1868" s="1">
        <v>467.5</v>
      </c>
    </row>
    <row r="1869" spans="1:6" x14ac:dyDescent="0.2">
      <c r="A1869" s="205">
        <v>0.91593750000000007</v>
      </c>
      <c r="B1869" s="1" t="s">
        <v>1165</v>
      </c>
      <c r="C1869" s="1">
        <v>66</v>
      </c>
      <c r="D1869" s="1" t="s">
        <v>37</v>
      </c>
      <c r="E1869" s="1">
        <v>-110</v>
      </c>
      <c r="F1869" s="1">
        <v>395</v>
      </c>
    </row>
    <row r="1870" spans="1:6" x14ac:dyDescent="0.2">
      <c r="A1870" s="205">
        <v>0.9167939814814815</v>
      </c>
      <c r="B1870" s="1" t="s">
        <v>1101</v>
      </c>
      <c r="C1870" s="1">
        <v>66</v>
      </c>
      <c r="D1870" s="1" t="s">
        <v>37</v>
      </c>
      <c r="E1870" s="1">
        <v>120</v>
      </c>
    </row>
    <row r="1871" spans="1:6" x14ac:dyDescent="0.2">
      <c r="A1871" s="205">
        <v>0.91738425925925926</v>
      </c>
      <c r="B1871" s="1" t="s">
        <v>1156</v>
      </c>
      <c r="C1871" s="1">
        <v>74</v>
      </c>
      <c r="D1871" s="1" t="s">
        <v>37</v>
      </c>
      <c r="E1871" s="1">
        <v>125</v>
      </c>
    </row>
    <row r="1872" spans="1:6" x14ac:dyDescent="0.2">
      <c r="A1872" s="205">
        <v>0.91803240740740744</v>
      </c>
      <c r="B1872" s="1" t="s">
        <v>1162</v>
      </c>
      <c r="C1872" s="1">
        <v>93</v>
      </c>
      <c r="D1872" s="1" t="s">
        <v>37</v>
      </c>
      <c r="E1872" s="1">
        <v>125</v>
      </c>
    </row>
    <row r="1873" spans="1:6" x14ac:dyDescent="0.2">
      <c r="A1873" s="205">
        <v>0.91869212962962965</v>
      </c>
      <c r="B1873" s="1" t="s">
        <v>1160</v>
      </c>
      <c r="C1873" s="1">
        <v>93</v>
      </c>
      <c r="D1873" s="1" t="s">
        <v>37</v>
      </c>
      <c r="E1873" s="1">
        <v>130</v>
      </c>
    </row>
    <row r="1874" spans="1:6" x14ac:dyDescent="0.2">
      <c r="A1874" s="205">
        <v>0.91942129629629632</v>
      </c>
      <c r="B1874" s="1" t="s">
        <v>1167</v>
      </c>
      <c r="C1874" s="1">
        <v>93</v>
      </c>
      <c r="D1874" s="1" t="s">
        <v>37</v>
      </c>
      <c r="E1874" s="1">
        <v>-130</v>
      </c>
      <c r="F1874" s="1">
        <v>525</v>
      </c>
    </row>
    <row r="1875" spans="1:6" x14ac:dyDescent="0.2">
      <c r="A1875" s="205">
        <v>0.92049768518518515</v>
      </c>
      <c r="B1875" s="1" t="s">
        <v>1153</v>
      </c>
      <c r="C1875" s="1">
        <v>66</v>
      </c>
      <c r="D1875" s="1" t="s">
        <v>37</v>
      </c>
      <c r="E1875" s="1">
        <v>-135</v>
      </c>
      <c r="F1875" s="1">
        <v>415</v>
      </c>
    </row>
    <row r="1876" spans="1:6" x14ac:dyDescent="0.2">
      <c r="A1876" s="205">
        <v>0.92118055555555556</v>
      </c>
      <c r="B1876" s="1" t="s">
        <v>1161</v>
      </c>
      <c r="C1876" s="1">
        <v>93</v>
      </c>
      <c r="D1876" s="1" t="s">
        <v>37</v>
      </c>
      <c r="E1876" s="1">
        <v>140</v>
      </c>
    </row>
    <row r="1877" spans="1:6" x14ac:dyDescent="0.2">
      <c r="A1877" s="205">
        <v>0.92194444444444434</v>
      </c>
      <c r="B1877" s="1" t="s">
        <v>1154</v>
      </c>
      <c r="C1877" s="1">
        <v>66</v>
      </c>
      <c r="D1877" s="1" t="s">
        <v>37</v>
      </c>
      <c r="E1877" s="1">
        <v>145</v>
      </c>
    </row>
    <row r="1878" spans="1:6" x14ac:dyDescent="0.2">
      <c r="A1878" s="205">
        <v>0.92271990740740739</v>
      </c>
      <c r="B1878" s="1" t="s">
        <v>1159</v>
      </c>
      <c r="C1878" s="1">
        <v>83</v>
      </c>
      <c r="D1878" s="1" t="s">
        <v>37</v>
      </c>
      <c r="E1878" s="1">
        <v>-145</v>
      </c>
      <c r="F1878" s="1">
        <v>540</v>
      </c>
    </row>
    <row r="1879" spans="1:6" x14ac:dyDescent="0.2">
      <c r="A1879" s="205">
        <v>0.92372685185185188</v>
      </c>
      <c r="B1879" s="1" t="s">
        <v>1163</v>
      </c>
      <c r="C1879" s="1">
        <v>105</v>
      </c>
      <c r="D1879" s="1" t="s">
        <v>37</v>
      </c>
      <c r="E1879" s="1">
        <v>172.5</v>
      </c>
    </row>
    <row r="1880" spans="1:6" x14ac:dyDescent="0.2">
      <c r="A1880" s="205">
        <v>0.94059027777777782</v>
      </c>
      <c r="B1880" s="1" t="s">
        <v>1164</v>
      </c>
      <c r="C1880" s="1">
        <v>52</v>
      </c>
      <c r="D1880" s="1" t="s">
        <v>30</v>
      </c>
      <c r="E1880" s="1">
        <v>80</v>
      </c>
      <c r="F1880" s="1">
        <v>235</v>
      </c>
    </row>
    <row r="1881" spans="1:6" x14ac:dyDescent="0.2">
      <c r="A1881" s="205">
        <v>0.94148148148148147</v>
      </c>
      <c r="B1881" s="1" t="s">
        <v>1164</v>
      </c>
      <c r="C1881" s="1">
        <v>52</v>
      </c>
      <c r="D1881" s="1" t="s">
        <v>30</v>
      </c>
      <c r="E1881" s="1">
        <v>80</v>
      </c>
      <c r="F1881" s="1">
        <v>245</v>
      </c>
    </row>
    <row r="1882" spans="1:6" x14ac:dyDescent="0.2">
      <c r="A1882" s="205">
        <v>0.94195601851851851</v>
      </c>
      <c r="B1882" s="1" t="s">
        <v>1155</v>
      </c>
      <c r="C1882" s="1">
        <v>74</v>
      </c>
      <c r="D1882" s="1" t="s">
        <v>30</v>
      </c>
      <c r="E1882" s="1">
        <v>100</v>
      </c>
      <c r="F1882" s="1">
        <v>260</v>
      </c>
    </row>
    <row r="1883" spans="1:6" x14ac:dyDescent="0.2">
      <c r="A1883" s="205">
        <v>0.94253472222222223</v>
      </c>
      <c r="B1883" s="1" t="s">
        <v>1166</v>
      </c>
      <c r="C1883" s="1">
        <v>74</v>
      </c>
      <c r="D1883" s="1" t="s">
        <v>30</v>
      </c>
      <c r="E1883" s="1">
        <v>110</v>
      </c>
      <c r="F1883" s="1">
        <v>315</v>
      </c>
    </row>
    <row r="1884" spans="1:6" x14ac:dyDescent="0.2">
      <c r="A1884" s="205">
        <v>0.94321759259259252</v>
      </c>
      <c r="B1884" s="1" t="s">
        <v>1157</v>
      </c>
      <c r="C1884" s="1">
        <v>74</v>
      </c>
      <c r="D1884" s="1" t="s">
        <v>30</v>
      </c>
      <c r="E1884" s="1">
        <v>140</v>
      </c>
      <c r="F1884" s="1">
        <v>397.5</v>
      </c>
    </row>
    <row r="1885" spans="1:6" x14ac:dyDescent="0.2">
      <c r="A1885" s="205">
        <v>0.94376157407407402</v>
      </c>
      <c r="B1885" s="1" t="s">
        <v>1153</v>
      </c>
      <c r="C1885" s="1">
        <v>66</v>
      </c>
      <c r="D1885" s="1" t="s">
        <v>30</v>
      </c>
      <c r="E1885" s="1">
        <v>150</v>
      </c>
      <c r="F1885" s="1">
        <v>425</v>
      </c>
    </row>
    <row r="1886" spans="1:6" x14ac:dyDescent="0.2">
      <c r="A1886" s="205">
        <v>0.9442476851851852</v>
      </c>
      <c r="B1886" s="1" t="s">
        <v>1165</v>
      </c>
      <c r="C1886" s="1">
        <v>66</v>
      </c>
      <c r="D1886" s="1" t="s">
        <v>30</v>
      </c>
      <c r="E1886" s="1">
        <v>160</v>
      </c>
      <c r="F1886" s="1">
        <v>395</v>
      </c>
    </row>
    <row r="1887" spans="1:6" x14ac:dyDescent="0.2">
      <c r="A1887" s="205">
        <v>0.94491898148148146</v>
      </c>
      <c r="B1887" s="1" t="s">
        <v>1101</v>
      </c>
      <c r="C1887" s="1">
        <v>66</v>
      </c>
      <c r="D1887" s="1" t="s">
        <v>30</v>
      </c>
      <c r="E1887" s="1">
        <v>165</v>
      </c>
      <c r="F1887" s="1">
        <v>430</v>
      </c>
    </row>
    <row r="1888" spans="1:6" x14ac:dyDescent="0.2">
      <c r="A1888" s="205">
        <v>0.94548611111111114</v>
      </c>
      <c r="B1888" s="1" t="s">
        <v>1156</v>
      </c>
      <c r="C1888" s="1">
        <v>74</v>
      </c>
      <c r="D1888" s="1" t="s">
        <v>30</v>
      </c>
      <c r="E1888" s="1">
        <v>180</v>
      </c>
      <c r="F1888" s="1">
        <v>485</v>
      </c>
    </row>
    <row r="1889" spans="1:6" x14ac:dyDescent="0.2">
      <c r="A1889" s="205">
        <v>0.94596064814814806</v>
      </c>
      <c r="B1889" s="1" t="s">
        <v>1161</v>
      </c>
      <c r="C1889" s="1">
        <v>93</v>
      </c>
      <c r="D1889" s="1" t="s">
        <v>30</v>
      </c>
      <c r="E1889" s="1">
        <v>185</v>
      </c>
      <c r="F1889" s="1">
        <v>515</v>
      </c>
    </row>
    <row r="1890" spans="1:6" x14ac:dyDescent="0.2">
      <c r="A1890" s="205">
        <v>0.94636574074074076</v>
      </c>
      <c r="B1890" s="1" t="s">
        <v>1152</v>
      </c>
      <c r="C1890" s="1">
        <v>59</v>
      </c>
      <c r="D1890" s="1" t="s">
        <v>30</v>
      </c>
      <c r="E1890" s="1">
        <v>190</v>
      </c>
      <c r="F1890" s="1">
        <v>467.5</v>
      </c>
    </row>
    <row r="1891" spans="1:6" x14ac:dyDescent="0.2">
      <c r="A1891" s="205">
        <v>0.94700231481481489</v>
      </c>
      <c r="B1891" s="1" t="s">
        <v>1162</v>
      </c>
      <c r="C1891" s="1">
        <v>93</v>
      </c>
      <c r="D1891" s="1" t="s">
        <v>30</v>
      </c>
      <c r="E1891" s="1">
        <v>190</v>
      </c>
      <c r="F1891" s="1">
        <v>520</v>
      </c>
    </row>
    <row r="1892" spans="1:6" x14ac:dyDescent="0.2">
      <c r="A1892" s="205">
        <v>0.94759259259259254</v>
      </c>
      <c r="B1892" s="1" t="s">
        <v>1159</v>
      </c>
      <c r="C1892" s="1">
        <v>83</v>
      </c>
      <c r="D1892" s="1" t="s">
        <v>30</v>
      </c>
      <c r="E1892" s="1">
        <v>200</v>
      </c>
      <c r="F1892" s="1">
        <v>540</v>
      </c>
    </row>
    <row r="1893" spans="1:6" x14ac:dyDescent="0.2">
      <c r="A1893" s="205">
        <v>0.94807870370370362</v>
      </c>
      <c r="B1893" s="1" t="s">
        <v>1167</v>
      </c>
      <c r="C1893" s="1">
        <v>93</v>
      </c>
      <c r="D1893" s="1" t="s">
        <v>30</v>
      </c>
      <c r="E1893" s="1">
        <v>200</v>
      </c>
      <c r="F1893" s="1">
        <v>525</v>
      </c>
    </row>
    <row r="1894" spans="1:6" x14ac:dyDescent="0.2">
      <c r="A1894" s="205">
        <v>0.94884259259259263</v>
      </c>
      <c r="B1894" s="1" t="s">
        <v>1160</v>
      </c>
      <c r="C1894" s="1">
        <v>93</v>
      </c>
      <c r="D1894" s="1" t="s">
        <v>30</v>
      </c>
      <c r="E1894" s="1">
        <v>205</v>
      </c>
      <c r="F1894" s="1">
        <v>570</v>
      </c>
    </row>
    <row r="1895" spans="1:6" x14ac:dyDescent="0.2">
      <c r="A1895" s="205">
        <v>0.94975694444444436</v>
      </c>
      <c r="B1895" s="1" t="s">
        <v>1154</v>
      </c>
      <c r="C1895" s="1">
        <v>66</v>
      </c>
      <c r="D1895" s="1" t="s">
        <v>30</v>
      </c>
      <c r="E1895" s="1">
        <v>220</v>
      </c>
      <c r="F1895" s="1">
        <v>570</v>
      </c>
    </row>
    <row r="1896" spans="1:6" x14ac:dyDescent="0.2">
      <c r="A1896" s="205">
        <v>0.9500925925925926</v>
      </c>
      <c r="B1896" s="1" t="s">
        <v>1163</v>
      </c>
      <c r="C1896" s="1">
        <v>105</v>
      </c>
      <c r="D1896" s="1" t="s">
        <v>30</v>
      </c>
      <c r="E1896" s="1">
        <v>220</v>
      </c>
      <c r="F1896" s="1">
        <v>617.5</v>
      </c>
    </row>
    <row r="1897" spans="1:6" x14ac:dyDescent="0.2">
      <c r="A1897" s="205">
        <v>0.95074074074074078</v>
      </c>
      <c r="B1897" s="1" t="s">
        <v>1158</v>
      </c>
      <c r="C1897" s="1">
        <v>83</v>
      </c>
      <c r="D1897" s="1" t="s">
        <v>30</v>
      </c>
      <c r="E1897" s="1">
        <v>230</v>
      </c>
      <c r="F1897" s="1">
        <v>700</v>
      </c>
    </row>
    <row r="1898" spans="1:6" x14ac:dyDescent="0.2">
      <c r="A1898" s="205">
        <v>0.95173611111111101</v>
      </c>
      <c r="B1898" s="1" t="s">
        <v>1164</v>
      </c>
      <c r="C1898" s="1">
        <v>52</v>
      </c>
      <c r="D1898" s="1" t="s">
        <v>34</v>
      </c>
      <c r="E1898" s="1">
        <v>90</v>
      </c>
      <c r="F1898" s="1">
        <v>245</v>
      </c>
    </row>
    <row r="1899" spans="1:6" x14ac:dyDescent="0.2">
      <c r="A1899" s="205">
        <v>0.95239583333333344</v>
      </c>
      <c r="B1899" s="1" t="s">
        <v>1155</v>
      </c>
      <c r="C1899" s="1">
        <v>74</v>
      </c>
      <c r="D1899" s="1" t="s">
        <v>34</v>
      </c>
      <c r="E1899" s="1">
        <v>110</v>
      </c>
      <c r="F1899" s="1">
        <v>270</v>
      </c>
    </row>
    <row r="1900" spans="1:6" x14ac:dyDescent="0.2">
      <c r="A1900" s="205">
        <v>0.95304398148148151</v>
      </c>
      <c r="B1900" s="1" t="s">
        <v>1166</v>
      </c>
      <c r="C1900" s="1">
        <v>74</v>
      </c>
      <c r="D1900" s="1" t="s">
        <v>34</v>
      </c>
      <c r="E1900" s="1">
        <v>120</v>
      </c>
      <c r="F1900" s="1">
        <v>325</v>
      </c>
    </row>
    <row r="1901" spans="1:6" x14ac:dyDescent="0.2">
      <c r="A1901" s="205">
        <v>0.95368055555555553</v>
      </c>
      <c r="B1901" s="1" t="s">
        <v>1157</v>
      </c>
      <c r="C1901" s="1">
        <v>74</v>
      </c>
      <c r="D1901" s="1" t="s">
        <v>34</v>
      </c>
      <c r="E1901" s="1">
        <v>-150</v>
      </c>
      <c r="F1901" s="1">
        <v>397.5</v>
      </c>
    </row>
    <row r="1902" spans="1:6" x14ac:dyDescent="0.2">
      <c r="A1902" s="205">
        <v>0.95423611111111117</v>
      </c>
      <c r="B1902" s="1" t="s">
        <v>1165</v>
      </c>
      <c r="C1902" s="1">
        <v>66</v>
      </c>
      <c r="D1902" s="1" t="s">
        <v>34</v>
      </c>
      <c r="E1902" s="1">
        <v>170</v>
      </c>
      <c r="F1902" s="1">
        <v>405</v>
      </c>
    </row>
    <row r="1903" spans="1:6" x14ac:dyDescent="0.2">
      <c r="A1903" s="205">
        <v>0.95483796296296297</v>
      </c>
      <c r="B1903" s="1" t="s">
        <v>1101</v>
      </c>
      <c r="C1903" s="1">
        <v>66</v>
      </c>
      <c r="D1903" s="1" t="s">
        <v>34</v>
      </c>
      <c r="E1903" s="1">
        <v>172.5</v>
      </c>
      <c r="F1903" s="1">
        <v>437.5</v>
      </c>
    </row>
    <row r="1904" spans="1:6" x14ac:dyDescent="0.2">
      <c r="A1904" s="205">
        <v>0.95538194444444446</v>
      </c>
      <c r="B1904" s="1" t="s">
        <v>1156</v>
      </c>
      <c r="C1904" s="1">
        <v>74</v>
      </c>
      <c r="D1904" s="1" t="s">
        <v>34</v>
      </c>
      <c r="E1904" s="1">
        <v>190</v>
      </c>
      <c r="F1904" s="1">
        <v>495</v>
      </c>
    </row>
    <row r="1905" spans="1:6" x14ac:dyDescent="0.2">
      <c r="A1905" s="205">
        <v>0.95592592592592596</v>
      </c>
      <c r="B1905" s="1" t="s">
        <v>1152</v>
      </c>
      <c r="C1905" s="1">
        <v>59</v>
      </c>
      <c r="D1905" s="1" t="s">
        <v>34</v>
      </c>
      <c r="E1905" s="1">
        <v>200</v>
      </c>
      <c r="F1905" s="1">
        <v>477.5</v>
      </c>
    </row>
    <row r="1906" spans="1:6" x14ac:dyDescent="0.2">
      <c r="A1906" s="205">
        <v>0.95658564814814817</v>
      </c>
      <c r="B1906" s="1" t="s">
        <v>1161</v>
      </c>
      <c r="C1906" s="1">
        <v>93</v>
      </c>
      <c r="D1906" s="1" t="s">
        <v>34</v>
      </c>
      <c r="E1906" s="1">
        <v>205</v>
      </c>
      <c r="F1906" s="1">
        <v>535</v>
      </c>
    </row>
    <row r="1907" spans="1:6" x14ac:dyDescent="0.2">
      <c r="A1907" s="205">
        <v>0.95709490740740744</v>
      </c>
      <c r="B1907" s="1" t="s">
        <v>1162</v>
      </c>
      <c r="C1907" s="1">
        <v>93</v>
      </c>
      <c r="D1907" s="1" t="s">
        <v>34</v>
      </c>
      <c r="E1907" s="1">
        <v>205</v>
      </c>
      <c r="F1907" s="1">
        <v>535</v>
      </c>
    </row>
    <row r="1908" spans="1:6" x14ac:dyDescent="0.2">
      <c r="A1908" s="205">
        <v>0.95784722222222218</v>
      </c>
      <c r="B1908" s="1" t="s">
        <v>1167</v>
      </c>
      <c r="C1908" s="1">
        <v>93</v>
      </c>
      <c r="D1908" s="1" t="s">
        <v>34</v>
      </c>
      <c r="E1908" s="1">
        <v>215</v>
      </c>
      <c r="F1908" s="1">
        <v>540</v>
      </c>
    </row>
    <row r="1909" spans="1:6" x14ac:dyDescent="0.2">
      <c r="A1909" s="205">
        <v>0.95834490740740741</v>
      </c>
      <c r="B1909" s="1" t="s">
        <v>1159</v>
      </c>
      <c r="C1909" s="1">
        <v>83</v>
      </c>
      <c r="D1909" s="1" t="s">
        <v>34</v>
      </c>
      <c r="E1909" s="1">
        <v>220</v>
      </c>
      <c r="F1909" s="1">
        <v>560</v>
      </c>
    </row>
    <row r="1910" spans="1:6" x14ac:dyDescent="0.2">
      <c r="A1910" s="205">
        <v>0.9588078703703703</v>
      </c>
      <c r="B1910" s="1" t="s">
        <v>1160</v>
      </c>
      <c r="C1910" s="1">
        <v>93</v>
      </c>
      <c r="D1910" s="1" t="s">
        <v>34</v>
      </c>
      <c r="E1910" s="1">
        <v>220</v>
      </c>
      <c r="F1910" s="1">
        <v>585</v>
      </c>
    </row>
    <row r="1911" spans="1:6" x14ac:dyDescent="0.2">
      <c r="A1911" s="205">
        <v>0.9595717592592593</v>
      </c>
      <c r="B1911" s="1" t="s">
        <v>1154</v>
      </c>
      <c r="C1911" s="1">
        <v>66</v>
      </c>
      <c r="D1911" s="1" t="s">
        <v>34</v>
      </c>
      <c r="E1911" s="1">
        <v>240</v>
      </c>
      <c r="F1911" s="1">
        <v>590</v>
      </c>
    </row>
    <row r="1912" spans="1:6" x14ac:dyDescent="0.2">
      <c r="A1912" s="205">
        <v>0.96035879629629628</v>
      </c>
      <c r="B1912" s="1" t="s">
        <v>1163</v>
      </c>
      <c r="C1912" s="1">
        <v>105</v>
      </c>
      <c r="D1912" s="1" t="s">
        <v>34</v>
      </c>
      <c r="E1912" s="1">
        <v>252.5</v>
      </c>
      <c r="F1912" s="1">
        <v>650</v>
      </c>
    </row>
    <row r="1913" spans="1:6" x14ac:dyDescent="0.2">
      <c r="A1913" s="205">
        <v>0.96137731481481481</v>
      </c>
      <c r="B1913" s="1" t="s">
        <v>1164</v>
      </c>
      <c r="C1913" s="1">
        <v>52</v>
      </c>
      <c r="D1913" s="1" t="s">
        <v>38</v>
      </c>
      <c r="E1913" s="1">
        <v>100</v>
      </c>
      <c r="F1913" s="1">
        <v>255</v>
      </c>
    </row>
    <row r="1914" spans="1:6" x14ac:dyDescent="0.2">
      <c r="A1914" s="205">
        <v>0.96204861111111117</v>
      </c>
      <c r="B1914" s="1" t="s">
        <v>1155</v>
      </c>
      <c r="C1914" s="1">
        <v>74</v>
      </c>
      <c r="D1914" s="1" t="s">
        <v>38</v>
      </c>
      <c r="E1914" s="1">
        <v>-115</v>
      </c>
      <c r="F1914" s="1">
        <v>270</v>
      </c>
    </row>
    <row r="1915" spans="1:6" x14ac:dyDescent="0.2">
      <c r="A1915" s="205">
        <v>0.96278935185185188</v>
      </c>
      <c r="B1915" s="1" t="s">
        <v>1166</v>
      </c>
      <c r="C1915" s="1">
        <v>74</v>
      </c>
      <c r="D1915" s="1" t="s">
        <v>38</v>
      </c>
      <c r="E1915" s="1">
        <v>130</v>
      </c>
      <c r="F1915" s="1">
        <v>335</v>
      </c>
    </row>
    <row r="1916" spans="1:6" x14ac:dyDescent="0.2">
      <c r="A1916" s="205">
        <v>0.96350694444444451</v>
      </c>
      <c r="B1916" s="1" t="s">
        <v>1101</v>
      </c>
      <c r="C1916" s="1">
        <v>66</v>
      </c>
      <c r="D1916" s="1" t="s">
        <v>38</v>
      </c>
      <c r="E1916" s="1">
        <v>-177.5</v>
      </c>
      <c r="F1916" s="1">
        <v>437.5</v>
      </c>
    </row>
    <row r="1917" spans="1:6" x14ac:dyDescent="0.2">
      <c r="A1917" s="205">
        <v>0.96401620370370367</v>
      </c>
      <c r="B1917" s="1" t="s">
        <v>1165</v>
      </c>
      <c r="C1917" s="1">
        <v>66</v>
      </c>
      <c r="D1917" s="1" t="s">
        <v>38</v>
      </c>
      <c r="E1917" s="1">
        <v>180</v>
      </c>
      <c r="F1917" s="1">
        <v>415</v>
      </c>
    </row>
    <row r="1918" spans="1:6" x14ac:dyDescent="0.2">
      <c r="A1918" s="205">
        <v>0.96446759259259263</v>
      </c>
      <c r="B1918" s="1" t="s">
        <v>1156</v>
      </c>
      <c r="C1918" s="1">
        <v>74</v>
      </c>
      <c r="D1918" s="1" t="s">
        <v>38</v>
      </c>
      <c r="E1918" s="1">
        <v>205</v>
      </c>
      <c r="F1918" s="1">
        <v>510</v>
      </c>
    </row>
    <row r="1919" spans="1:6" x14ac:dyDescent="0.2">
      <c r="A1919" s="205">
        <v>0.96513888888888888</v>
      </c>
      <c r="B1919" s="1" t="s">
        <v>1152</v>
      </c>
      <c r="C1919" s="1">
        <v>59</v>
      </c>
      <c r="D1919" s="1" t="s">
        <v>38</v>
      </c>
      <c r="E1919" s="1">
        <v>210</v>
      </c>
      <c r="F1919" s="1">
        <v>487.5</v>
      </c>
    </row>
    <row r="1920" spans="1:6" x14ac:dyDescent="0.2">
      <c r="A1920" s="205">
        <v>0.96579861111111109</v>
      </c>
      <c r="B1920" s="1" t="s">
        <v>1162</v>
      </c>
      <c r="C1920" s="1">
        <v>93</v>
      </c>
      <c r="D1920" s="1" t="s">
        <v>38</v>
      </c>
      <c r="E1920" s="1">
        <v>215</v>
      </c>
      <c r="F1920" s="1">
        <v>545</v>
      </c>
    </row>
    <row r="1921" spans="1:6" x14ac:dyDescent="0.2">
      <c r="A1921" s="205">
        <v>0.9665393518518518</v>
      </c>
      <c r="B1921" s="1" t="s">
        <v>1167</v>
      </c>
      <c r="C1921" s="1">
        <v>93</v>
      </c>
      <c r="D1921" s="1" t="s">
        <v>38</v>
      </c>
      <c r="E1921" s="1">
        <v>-227.5</v>
      </c>
      <c r="F1921" s="1">
        <v>540</v>
      </c>
    </row>
    <row r="1922" spans="1:6" x14ac:dyDescent="0.2">
      <c r="A1922" s="205">
        <v>0.96730324074074081</v>
      </c>
      <c r="B1922" s="1" t="s">
        <v>1159</v>
      </c>
      <c r="C1922" s="1">
        <v>83</v>
      </c>
      <c r="D1922" s="1" t="s">
        <v>38</v>
      </c>
      <c r="E1922" s="1">
        <v>-230</v>
      </c>
      <c r="F1922" s="1">
        <v>560</v>
      </c>
    </row>
    <row r="1923" spans="1:6" x14ac:dyDescent="0.2">
      <c r="A1923" s="205">
        <v>0.9680671296296296</v>
      </c>
      <c r="B1923" s="1" t="s">
        <v>1160</v>
      </c>
      <c r="C1923" s="1">
        <v>93</v>
      </c>
      <c r="D1923" s="1" t="s">
        <v>38</v>
      </c>
      <c r="E1923" s="1">
        <v>-235</v>
      </c>
      <c r="F1923" s="1">
        <v>585</v>
      </c>
    </row>
    <row r="1924" spans="1:6" x14ac:dyDescent="0.2">
      <c r="A1924" s="205">
        <v>0.96899305555555548</v>
      </c>
      <c r="B1924" s="1" t="s">
        <v>1154</v>
      </c>
      <c r="C1924" s="1">
        <v>66</v>
      </c>
      <c r="D1924" s="1" t="s">
        <v>38</v>
      </c>
      <c r="E1924" s="1">
        <v>250</v>
      </c>
      <c r="F1924" s="1">
        <v>600</v>
      </c>
    </row>
    <row r="1925" spans="1:6" x14ac:dyDescent="0.2">
      <c r="A1925" s="205">
        <v>0.4803472222222222</v>
      </c>
      <c r="B1925" s="1" t="s">
        <v>1161</v>
      </c>
      <c r="C1925" s="1">
        <v>93</v>
      </c>
      <c r="D1925" s="1" t="s">
        <v>38</v>
      </c>
      <c r="E1925" s="1">
        <v>0</v>
      </c>
      <c r="F1925" s="1">
        <v>535</v>
      </c>
    </row>
    <row r="1926" spans="1:6" x14ac:dyDescent="0.2">
      <c r="A1926" s="205">
        <v>0.68606481481481485</v>
      </c>
      <c r="B1926" s="1" t="s">
        <v>1197</v>
      </c>
      <c r="C1926" s="1">
        <v>52</v>
      </c>
      <c r="D1926" s="1" t="s">
        <v>27</v>
      </c>
      <c r="E1926" s="1">
        <v>100</v>
      </c>
    </row>
    <row r="1927" spans="1:6" x14ac:dyDescent="0.2">
      <c r="A1927" s="205">
        <v>0.68615740740740738</v>
      </c>
      <c r="B1927" s="1" t="s">
        <v>1198</v>
      </c>
      <c r="C1927" s="1">
        <v>52</v>
      </c>
      <c r="D1927" s="1" t="s">
        <v>27</v>
      </c>
      <c r="E1927" s="1">
        <v>110</v>
      </c>
    </row>
    <row r="1928" spans="1:6" x14ac:dyDescent="0.2">
      <c r="A1928" s="205">
        <v>0.68634259259259256</v>
      </c>
      <c r="B1928" s="1" t="s">
        <v>1197</v>
      </c>
      <c r="C1928" s="1">
        <v>52</v>
      </c>
      <c r="D1928" s="1" t="s">
        <v>29</v>
      </c>
      <c r="E1928" s="1">
        <v>100</v>
      </c>
    </row>
    <row r="1929" spans="1:6" x14ac:dyDescent="0.2">
      <c r="A1929" s="205">
        <v>0.68636574074074075</v>
      </c>
      <c r="B1929" s="1" t="s">
        <v>1198</v>
      </c>
      <c r="C1929" s="1">
        <v>52</v>
      </c>
      <c r="D1929" s="1" t="s">
        <v>29</v>
      </c>
      <c r="E1929" s="1">
        <v>110</v>
      </c>
    </row>
    <row r="1930" spans="1:6" x14ac:dyDescent="0.2">
      <c r="A1930" s="205">
        <v>0.6864351851851852</v>
      </c>
      <c r="B1930" s="1" t="s">
        <v>1197</v>
      </c>
      <c r="C1930" s="1">
        <v>52</v>
      </c>
      <c r="D1930" s="1" t="s">
        <v>30</v>
      </c>
      <c r="E1930" s="1">
        <v>100</v>
      </c>
      <c r="F1930" s="1">
        <v>300</v>
      </c>
    </row>
    <row r="1931" spans="1:6" x14ac:dyDescent="0.2">
      <c r="A1931" s="205">
        <v>0.68645833333333339</v>
      </c>
      <c r="B1931" s="1" t="s">
        <v>1198</v>
      </c>
      <c r="C1931" s="1">
        <v>52</v>
      </c>
      <c r="D1931" s="1" t="s">
        <v>30</v>
      </c>
      <c r="E1931" s="1">
        <v>110</v>
      </c>
      <c r="F1931" s="1">
        <v>330</v>
      </c>
    </row>
    <row r="1932" spans="1:6" x14ac:dyDescent="0.2">
      <c r="A1932" s="205">
        <v>0.68950231481481483</v>
      </c>
      <c r="B1932" s="1" t="s">
        <v>1197</v>
      </c>
      <c r="C1932" s="1">
        <v>52</v>
      </c>
      <c r="D1932" s="1" t="s">
        <v>27</v>
      </c>
      <c r="E1932" s="1">
        <v>100</v>
      </c>
    </row>
    <row r="1933" spans="1:6" x14ac:dyDescent="0.2">
      <c r="A1933" s="205">
        <v>0.68952546296296291</v>
      </c>
      <c r="B1933" s="1" t="s">
        <v>1198</v>
      </c>
      <c r="C1933" s="1">
        <v>52</v>
      </c>
      <c r="D1933" s="1" t="s">
        <v>27</v>
      </c>
      <c r="E1933" s="1">
        <v>110</v>
      </c>
    </row>
    <row r="1934" spans="1:6" x14ac:dyDescent="0.2">
      <c r="A1934" s="205">
        <v>0.6896064814814814</v>
      </c>
      <c r="B1934" s="1" t="s">
        <v>1197</v>
      </c>
      <c r="C1934" s="1">
        <v>52</v>
      </c>
      <c r="D1934" s="1" t="s">
        <v>29</v>
      </c>
      <c r="E1934" s="1">
        <v>100</v>
      </c>
    </row>
    <row r="1935" spans="1:6" x14ac:dyDescent="0.2">
      <c r="A1935" s="205">
        <v>0.6896296296296297</v>
      </c>
      <c r="B1935" s="1" t="s">
        <v>1198</v>
      </c>
      <c r="C1935" s="1">
        <v>52</v>
      </c>
      <c r="D1935" s="1" t="s">
        <v>29</v>
      </c>
      <c r="E1935" s="1">
        <v>110</v>
      </c>
    </row>
    <row r="1936" spans="1:6" x14ac:dyDescent="0.2">
      <c r="A1936" s="205">
        <v>0.68972222222222224</v>
      </c>
      <c r="B1936" s="1" t="s">
        <v>1197</v>
      </c>
      <c r="C1936" s="1">
        <v>52</v>
      </c>
      <c r="D1936" s="1" t="s">
        <v>30</v>
      </c>
      <c r="E1936" s="1">
        <v>100</v>
      </c>
      <c r="F1936" s="1">
        <v>300</v>
      </c>
    </row>
    <row r="1937" spans="1:6" x14ac:dyDescent="0.2">
      <c r="A1937" s="205">
        <v>0.68974537037037031</v>
      </c>
      <c r="B1937" s="1" t="s">
        <v>1198</v>
      </c>
      <c r="C1937" s="1">
        <v>52</v>
      </c>
      <c r="D1937" s="1" t="s">
        <v>30</v>
      </c>
      <c r="E1937" s="1">
        <v>110</v>
      </c>
      <c r="F1937" s="1">
        <v>330</v>
      </c>
    </row>
    <row r="1938" spans="1:6" x14ac:dyDescent="0.2">
      <c r="A1938" s="205">
        <v>0.60914351851851845</v>
      </c>
      <c r="B1938" s="1" t="s">
        <v>1204</v>
      </c>
      <c r="C1938" s="1">
        <v>83</v>
      </c>
      <c r="D1938" s="1" t="s">
        <v>27</v>
      </c>
      <c r="E1938" s="1">
        <v>-80</v>
      </c>
    </row>
    <row r="1939" spans="1:6" x14ac:dyDescent="0.2">
      <c r="A1939" s="205">
        <v>0.60984953703703704</v>
      </c>
      <c r="B1939" s="1" t="s">
        <v>1202</v>
      </c>
      <c r="C1939" s="1">
        <v>74</v>
      </c>
      <c r="D1939" s="1" t="s">
        <v>27</v>
      </c>
      <c r="E1939" s="1">
        <v>90</v>
      </c>
    </row>
    <row r="1940" spans="1:6" x14ac:dyDescent="0.2">
      <c r="A1940" s="205">
        <v>0.61045138888888884</v>
      </c>
      <c r="B1940" s="1" t="s">
        <v>1203</v>
      </c>
      <c r="C1940" s="1">
        <v>74</v>
      </c>
      <c r="D1940" s="1" t="s">
        <v>27</v>
      </c>
      <c r="E1940" s="1">
        <v>110</v>
      </c>
    </row>
    <row r="1941" spans="1:6" x14ac:dyDescent="0.2">
      <c r="A1941" s="205">
        <v>0.6111226851851852</v>
      </c>
      <c r="B1941" s="1" t="s">
        <v>1222</v>
      </c>
      <c r="C1941" s="1">
        <v>83</v>
      </c>
      <c r="D1941" s="1" t="s">
        <v>27</v>
      </c>
      <c r="E1941" s="1">
        <v>130</v>
      </c>
    </row>
    <row r="1942" spans="1:6" x14ac:dyDescent="0.2">
      <c r="A1942" s="205">
        <v>0.61179398148148145</v>
      </c>
      <c r="B1942" s="1" t="s">
        <v>1207</v>
      </c>
      <c r="C1942" s="1">
        <v>83</v>
      </c>
      <c r="D1942" s="1" t="s">
        <v>27</v>
      </c>
      <c r="E1942" s="1">
        <v>130</v>
      </c>
    </row>
    <row r="1943" spans="1:6" x14ac:dyDescent="0.2">
      <c r="A1943" s="205">
        <v>0.61244212962962963</v>
      </c>
      <c r="B1943" s="1" t="s">
        <v>1210</v>
      </c>
      <c r="C1943" s="1">
        <v>83</v>
      </c>
      <c r="D1943" s="1" t="s">
        <v>27</v>
      </c>
      <c r="E1943" s="1">
        <v>130</v>
      </c>
    </row>
    <row r="1944" spans="1:6" x14ac:dyDescent="0.2">
      <c r="A1944" s="205">
        <v>0.61318287037037034</v>
      </c>
      <c r="B1944" s="1" t="s">
        <v>1220</v>
      </c>
      <c r="C1944" s="1">
        <v>74</v>
      </c>
      <c r="D1944" s="1" t="s">
        <v>27</v>
      </c>
      <c r="E1944" s="1">
        <v>140</v>
      </c>
    </row>
    <row r="1945" spans="1:6" x14ac:dyDescent="0.2">
      <c r="A1945" s="205">
        <v>0.61372685185185183</v>
      </c>
      <c r="B1945" s="1" t="s">
        <v>1212</v>
      </c>
      <c r="C1945" s="1">
        <v>83</v>
      </c>
      <c r="D1945" s="1" t="s">
        <v>27</v>
      </c>
      <c r="E1945" s="1">
        <v>140</v>
      </c>
    </row>
    <row r="1946" spans="1:6" x14ac:dyDescent="0.2">
      <c r="A1946" s="205">
        <v>0.61429398148148151</v>
      </c>
      <c r="B1946" s="1" t="s">
        <v>1206</v>
      </c>
      <c r="C1946" s="1">
        <v>83</v>
      </c>
      <c r="D1946" s="1" t="s">
        <v>27</v>
      </c>
      <c r="E1946" s="1">
        <v>145</v>
      </c>
    </row>
    <row r="1947" spans="1:6" x14ac:dyDescent="0.2">
      <c r="A1947" s="205">
        <v>0.61530092592592589</v>
      </c>
      <c r="B1947" s="1" t="s">
        <v>1200</v>
      </c>
      <c r="C1947" s="1">
        <v>74</v>
      </c>
      <c r="D1947" s="1" t="s">
        <v>27</v>
      </c>
      <c r="E1947" s="1">
        <v>170</v>
      </c>
    </row>
    <row r="1948" spans="1:6" x14ac:dyDescent="0.2">
      <c r="A1948" s="205">
        <v>0.61569444444444443</v>
      </c>
      <c r="B1948" s="1" t="s">
        <v>1209</v>
      </c>
      <c r="C1948" s="1">
        <v>83</v>
      </c>
      <c r="D1948" s="1" t="s">
        <v>27</v>
      </c>
      <c r="E1948" s="1">
        <v>170</v>
      </c>
    </row>
    <row r="1949" spans="1:6" x14ac:dyDescent="0.2">
      <c r="A1949" s="205">
        <v>0.61628472222222219</v>
      </c>
      <c r="B1949" s="1" t="s">
        <v>1211</v>
      </c>
      <c r="C1949" s="1">
        <v>83</v>
      </c>
      <c r="D1949" s="1" t="s">
        <v>27</v>
      </c>
      <c r="E1949" s="1">
        <v>175</v>
      </c>
    </row>
    <row r="1950" spans="1:6" x14ac:dyDescent="0.2">
      <c r="A1950" s="205">
        <v>0.61682870370370368</v>
      </c>
      <c r="B1950" s="1" t="s">
        <v>1208</v>
      </c>
      <c r="C1950" s="1">
        <v>83</v>
      </c>
      <c r="D1950" s="1" t="s">
        <v>27</v>
      </c>
      <c r="E1950" s="1">
        <v>180</v>
      </c>
    </row>
    <row r="1951" spans="1:6" x14ac:dyDescent="0.2">
      <c r="A1951" s="205">
        <v>0.61750000000000005</v>
      </c>
      <c r="B1951" s="1" t="s">
        <v>1205</v>
      </c>
      <c r="C1951" s="1">
        <v>83</v>
      </c>
      <c r="D1951" s="1" t="s">
        <v>27</v>
      </c>
      <c r="E1951" s="1">
        <v>197.5</v>
      </c>
    </row>
    <row r="1952" spans="1:6" x14ac:dyDescent="0.2">
      <c r="A1952" s="205">
        <v>0.61827546296296299</v>
      </c>
      <c r="B1952" s="1" t="s">
        <v>1204</v>
      </c>
      <c r="C1952" s="1">
        <v>83</v>
      </c>
      <c r="D1952" s="1" t="s">
        <v>31</v>
      </c>
      <c r="E1952" s="1">
        <v>85</v>
      </c>
    </row>
    <row r="1953" spans="1:6" x14ac:dyDescent="0.2">
      <c r="A1953" s="205">
        <v>0.61887731481481478</v>
      </c>
      <c r="B1953" s="1" t="s">
        <v>1202</v>
      </c>
      <c r="C1953" s="1">
        <v>74</v>
      </c>
      <c r="D1953" s="1" t="s">
        <v>31</v>
      </c>
      <c r="E1953" s="1">
        <v>100</v>
      </c>
    </row>
    <row r="1954" spans="1:6" x14ac:dyDescent="0.2">
      <c r="A1954" s="205">
        <v>0.61946759259259265</v>
      </c>
      <c r="B1954" s="1" t="s">
        <v>1203</v>
      </c>
      <c r="C1954" s="1">
        <v>74</v>
      </c>
      <c r="D1954" s="1" t="s">
        <v>31</v>
      </c>
      <c r="E1954" s="1">
        <v>-120</v>
      </c>
      <c r="F1954" s="1">
        <v>300</v>
      </c>
    </row>
    <row r="1955" spans="1:6" x14ac:dyDescent="0.2">
      <c r="A1955" s="205">
        <v>0.62013888888888891</v>
      </c>
      <c r="B1955" s="1" t="s">
        <v>1222</v>
      </c>
      <c r="C1955" s="1">
        <v>83</v>
      </c>
      <c r="D1955" s="1" t="s">
        <v>31</v>
      </c>
      <c r="E1955" s="1">
        <v>140</v>
      </c>
    </row>
    <row r="1956" spans="1:6" x14ac:dyDescent="0.2">
      <c r="A1956" s="205">
        <v>0.62075231481481474</v>
      </c>
      <c r="B1956" s="1" t="s">
        <v>1207</v>
      </c>
      <c r="C1956" s="1">
        <v>83</v>
      </c>
      <c r="D1956" s="1" t="s">
        <v>31</v>
      </c>
      <c r="E1956" s="1">
        <v>140</v>
      </c>
    </row>
    <row r="1957" spans="1:6" x14ac:dyDescent="0.2">
      <c r="A1957" s="205">
        <v>0.62130787037037039</v>
      </c>
      <c r="B1957" s="1" t="s">
        <v>1210</v>
      </c>
      <c r="C1957" s="1">
        <v>83</v>
      </c>
      <c r="D1957" s="1" t="s">
        <v>31</v>
      </c>
      <c r="E1957" s="1">
        <v>145</v>
      </c>
    </row>
    <row r="1958" spans="1:6" x14ac:dyDescent="0.2">
      <c r="A1958" s="205">
        <v>0.62202546296296302</v>
      </c>
      <c r="B1958" s="1" t="s">
        <v>1220</v>
      </c>
      <c r="C1958" s="1">
        <v>74</v>
      </c>
      <c r="D1958" s="1" t="s">
        <v>31</v>
      </c>
      <c r="E1958" s="1">
        <v>150</v>
      </c>
    </row>
    <row r="1959" spans="1:6" x14ac:dyDescent="0.2">
      <c r="A1959" s="205">
        <v>0.62259259259259259</v>
      </c>
      <c r="B1959" s="1" t="s">
        <v>1206</v>
      </c>
      <c r="C1959" s="1">
        <v>83</v>
      </c>
      <c r="D1959" s="1" t="s">
        <v>31</v>
      </c>
      <c r="E1959" s="1">
        <v>155</v>
      </c>
    </row>
    <row r="1960" spans="1:6" x14ac:dyDescent="0.2">
      <c r="A1960" s="205">
        <v>0.62327546296296299</v>
      </c>
      <c r="B1960" s="1" t="s">
        <v>1212</v>
      </c>
      <c r="C1960" s="1">
        <v>83</v>
      </c>
      <c r="D1960" s="1" t="s">
        <v>31</v>
      </c>
      <c r="E1960" s="1">
        <v>160</v>
      </c>
    </row>
    <row r="1961" spans="1:6" x14ac:dyDescent="0.2">
      <c r="A1961" s="205">
        <v>0.6240162037037037</v>
      </c>
      <c r="B1961" s="1" t="s">
        <v>1200</v>
      </c>
      <c r="C1961" s="1">
        <v>74</v>
      </c>
      <c r="D1961" s="1" t="s">
        <v>31</v>
      </c>
      <c r="E1961" s="1">
        <v>180</v>
      </c>
    </row>
    <row r="1962" spans="1:6" x14ac:dyDescent="0.2">
      <c r="A1962" s="205">
        <v>0.62462962962962965</v>
      </c>
      <c r="B1962" s="1" t="s">
        <v>1209</v>
      </c>
      <c r="C1962" s="1">
        <v>83</v>
      </c>
      <c r="D1962" s="1" t="s">
        <v>31</v>
      </c>
      <c r="E1962" s="1">
        <v>185</v>
      </c>
    </row>
    <row r="1963" spans="1:6" x14ac:dyDescent="0.2">
      <c r="A1963" s="205">
        <v>0.62513888888888891</v>
      </c>
      <c r="B1963" s="1" t="s">
        <v>1208</v>
      </c>
      <c r="C1963" s="1">
        <v>83</v>
      </c>
      <c r="D1963" s="1" t="s">
        <v>31</v>
      </c>
      <c r="E1963" s="1">
        <v>190</v>
      </c>
    </row>
    <row r="1964" spans="1:6" x14ac:dyDescent="0.2">
      <c r="A1964" s="205">
        <v>0.6257638888888889</v>
      </c>
      <c r="B1964" s="1" t="s">
        <v>1211</v>
      </c>
      <c r="C1964" s="1">
        <v>83</v>
      </c>
      <c r="D1964" s="1" t="s">
        <v>31</v>
      </c>
      <c r="E1964" s="1">
        <v>190</v>
      </c>
    </row>
    <row r="1965" spans="1:6" x14ac:dyDescent="0.2">
      <c r="A1965" s="205">
        <v>0.62665509259259256</v>
      </c>
      <c r="B1965" s="1" t="s">
        <v>1205</v>
      </c>
      <c r="C1965" s="1">
        <v>83</v>
      </c>
      <c r="D1965" s="1" t="s">
        <v>31</v>
      </c>
      <c r="E1965" s="1">
        <v>205</v>
      </c>
    </row>
    <row r="1966" spans="1:6" x14ac:dyDescent="0.2">
      <c r="A1966" s="205">
        <v>0.62738425925925922</v>
      </c>
      <c r="B1966" s="1" t="s">
        <v>1204</v>
      </c>
      <c r="C1966" s="1">
        <v>83</v>
      </c>
      <c r="D1966" s="1" t="s">
        <v>35</v>
      </c>
      <c r="E1966" s="1">
        <v>95</v>
      </c>
    </row>
    <row r="1967" spans="1:6" x14ac:dyDescent="0.2">
      <c r="A1967" s="205">
        <v>0.62807870370370367</v>
      </c>
      <c r="B1967" s="1" t="s">
        <v>1202</v>
      </c>
      <c r="C1967" s="1">
        <v>74</v>
      </c>
      <c r="D1967" s="1" t="s">
        <v>35</v>
      </c>
      <c r="E1967" s="1">
        <v>-110</v>
      </c>
      <c r="F1967" s="1">
        <v>255</v>
      </c>
    </row>
    <row r="1968" spans="1:6" x14ac:dyDescent="0.2">
      <c r="A1968" s="205">
        <v>0.62854166666666667</v>
      </c>
      <c r="B1968" s="1" t="s">
        <v>1203</v>
      </c>
      <c r="C1968" s="1">
        <v>74</v>
      </c>
      <c r="D1968" s="1" t="s">
        <v>35</v>
      </c>
      <c r="E1968" s="1">
        <v>125</v>
      </c>
    </row>
    <row r="1969" spans="1:6" x14ac:dyDescent="0.2">
      <c r="A1969" s="205">
        <v>0.62916666666666665</v>
      </c>
      <c r="B1969" s="1" t="s">
        <v>1207</v>
      </c>
      <c r="C1969" s="1">
        <v>83</v>
      </c>
      <c r="D1969" s="1" t="s">
        <v>35</v>
      </c>
      <c r="E1969" s="1">
        <v>145</v>
      </c>
    </row>
    <row r="1970" spans="1:6" x14ac:dyDescent="0.2">
      <c r="A1970" s="205">
        <v>0.62997685185185182</v>
      </c>
      <c r="B1970" s="1" t="s">
        <v>1222</v>
      </c>
      <c r="C1970" s="1">
        <v>83</v>
      </c>
      <c r="D1970" s="1" t="s">
        <v>35</v>
      </c>
      <c r="E1970" s="1">
        <v>150</v>
      </c>
    </row>
    <row r="1971" spans="1:6" x14ac:dyDescent="0.2">
      <c r="A1971" s="205">
        <v>0.63064814814814818</v>
      </c>
      <c r="B1971" s="1" t="s">
        <v>1220</v>
      </c>
      <c r="C1971" s="1">
        <v>74</v>
      </c>
      <c r="D1971" s="1" t="s">
        <v>35</v>
      </c>
      <c r="E1971" s="1">
        <v>-160</v>
      </c>
      <c r="F1971" s="1">
        <v>410</v>
      </c>
    </row>
    <row r="1972" spans="1:6" x14ac:dyDescent="0.2">
      <c r="A1972" s="205">
        <v>0.63113425925925926</v>
      </c>
      <c r="B1972" s="1" t="s">
        <v>1206</v>
      </c>
      <c r="C1972" s="1">
        <v>83</v>
      </c>
      <c r="D1972" s="1" t="s">
        <v>35</v>
      </c>
      <c r="E1972" s="1">
        <v>162.5</v>
      </c>
    </row>
    <row r="1973" spans="1:6" x14ac:dyDescent="0.2">
      <c r="A1973" s="205">
        <v>0.63177083333333328</v>
      </c>
      <c r="B1973" s="1" t="s">
        <v>1210</v>
      </c>
      <c r="C1973" s="1">
        <v>83</v>
      </c>
      <c r="D1973" s="1" t="s">
        <v>35</v>
      </c>
      <c r="E1973" s="1">
        <v>162.5</v>
      </c>
    </row>
    <row r="1974" spans="1:6" x14ac:dyDescent="0.2">
      <c r="A1974" s="205">
        <v>0.63239583333333338</v>
      </c>
      <c r="B1974" s="1" t="s">
        <v>1212</v>
      </c>
      <c r="C1974" s="1">
        <v>83</v>
      </c>
      <c r="D1974" s="1" t="s">
        <v>35</v>
      </c>
      <c r="E1974" s="1">
        <v>-170</v>
      </c>
      <c r="F1974" s="1">
        <v>460</v>
      </c>
    </row>
    <row r="1975" spans="1:6" x14ac:dyDescent="0.2">
      <c r="A1975" s="205">
        <v>0.63340277777777776</v>
      </c>
      <c r="B1975" s="1" t="s">
        <v>1200</v>
      </c>
      <c r="C1975" s="1">
        <v>74</v>
      </c>
      <c r="D1975" s="1" t="s">
        <v>35</v>
      </c>
      <c r="E1975" s="1">
        <v>190</v>
      </c>
    </row>
    <row r="1976" spans="1:6" x14ac:dyDescent="0.2">
      <c r="A1976" s="205">
        <v>0.6340972222222222</v>
      </c>
      <c r="B1976" s="1" t="s">
        <v>1209</v>
      </c>
      <c r="C1976" s="1">
        <v>83</v>
      </c>
      <c r="D1976" s="1" t="s">
        <v>35</v>
      </c>
      <c r="E1976" s="1">
        <v>195</v>
      </c>
    </row>
    <row r="1977" spans="1:6" x14ac:dyDescent="0.2">
      <c r="A1977" s="205">
        <v>0.63475694444444442</v>
      </c>
      <c r="B1977" s="1" t="s">
        <v>1211</v>
      </c>
      <c r="C1977" s="1">
        <v>83</v>
      </c>
      <c r="D1977" s="1" t="s">
        <v>35</v>
      </c>
      <c r="E1977" s="1">
        <v>197.5</v>
      </c>
    </row>
    <row r="1978" spans="1:6" x14ac:dyDescent="0.2">
      <c r="A1978" s="205">
        <v>0.63545138888888886</v>
      </c>
      <c r="B1978" s="1" t="s">
        <v>1208</v>
      </c>
      <c r="C1978" s="1">
        <v>83</v>
      </c>
      <c r="D1978" s="1" t="s">
        <v>35</v>
      </c>
      <c r="E1978" s="1">
        <v>-200</v>
      </c>
      <c r="F1978" s="1">
        <v>490</v>
      </c>
    </row>
    <row r="1979" spans="1:6" x14ac:dyDescent="0.2">
      <c r="A1979" s="205">
        <v>0.63619212962962968</v>
      </c>
      <c r="B1979" s="1" t="s">
        <v>1205</v>
      </c>
      <c r="C1979" s="1">
        <v>83</v>
      </c>
      <c r="D1979" s="1" t="s">
        <v>35</v>
      </c>
      <c r="E1979" s="1">
        <v>-215</v>
      </c>
      <c r="F1979" s="1">
        <v>485</v>
      </c>
    </row>
    <row r="1980" spans="1:6" x14ac:dyDescent="0.2">
      <c r="A1980" s="205">
        <v>0.63944444444444448</v>
      </c>
      <c r="B1980" s="1" t="s">
        <v>1043</v>
      </c>
      <c r="C1980" s="1">
        <v>93</v>
      </c>
      <c r="D1980" s="1" t="s">
        <v>27</v>
      </c>
      <c r="E1980" s="1">
        <v>135</v>
      </c>
    </row>
    <row r="1981" spans="1:6" x14ac:dyDescent="0.2">
      <c r="A1981" s="205">
        <v>0.63947916666666671</v>
      </c>
      <c r="B1981" s="1" t="s">
        <v>1217</v>
      </c>
      <c r="C1981" s="1">
        <v>93</v>
      </c>
      <c r="D1981" s="1" t="s">
        <v>27</v>
      </c>
      <c r="E1981" s="1">
        <v>135</v>
      </c>
    </row>
    <row r="1982" spans="1:6" x14ac:dyDescent="0.2">
      <c r="A1982" s="205">
        <v>0.64025462962962965</v>
      </c>
      <c r="B1982" s="1" t="s">
        <v>1221</v>
      </c>
      <c r="C1982" s="1">
        <v>83</v>
      </c>
      <c r="D1982" s="1" t="s">
        <v>27</v>
      </c>
      <c r="E1982" s="1">
        <v>140</v>
      </c>
    </row>
    <row r="1983" spans="1:6" x14ac:dyDescent="0.2">
      <c r="A1983" s="205">
        <v>0.64068287037037031</v>
      </c>
      <c r="B1983" s="1" t="s">
        <v>1215</v>
      </c>
      <c r="C1983" s="1">
        <v>93</v>
      </c>
      <c r="D1983" s="1" t="s">
        <v>27</v>
      </c>
      <c r="E1983" s="1">
        <v>140</v>
      </c>
    </row>
    <row r="1984" spans="1:6" x14ac:dyDescent="0.2">
      <c r="A1984" s="205">
        <v>0.64135416666666667</v>
      </c>
      <c r="B1984" s="1" t="s">
        <v>1214</v>
      </c>
      <c r="C1984" s="1">
        <v>93</v>
      </c>
      <c r="D1984" s="1" t="s">
        <v>27</v>
      </c>
      <c r="E1984" s="1">
        <v>165</v>
      </c>
    </row>
    <row r="1985" spans="1:5" x14ac:dyDescent="0.2">
      <c r="A1985" s="205">
        <v>0.64201388888888888</v>
      </c>
      <c r="B1985" s="1" t="s">
        <v>1223</v>
      </c>
      <c r="C1985" s="1">
        <v>93</v>
      </c>
      <c r="D1985" s="1" t="s">
        <v>27</v>
      </c>
      <c r="E1985" s="1">
        <v>175</v>
      </c>
    </row>
    <row r="1986" spans="1:5" x14ac:dyDescent="0.2">
      <c r="A1986" s="205">
        <v>0.64273148148148151</v>
      </c>
      <c r="B1986" s="1" t="s">
        <v>1216</v>
      </c>
      <c r="C1986" s="1">
        <v>93</v>
      </c>
      <c r="D1986" s="1" t="s">
        <v>27</v>
      </c>
      <c r="E1986" s="1">
        <v>180</v>
      </c>
    </row>
    <row r="1987" spans="1:5" x14ac:dyDescent="0.2">
      <c r="A1987" s="205">
        <v>0.64334490740740746</v>
      </c>
      <c r="B1987" s="1" t="s">
        <v>1053</v>
      </c>
      <c r="C1987" s="1">
        <v>105</v>
      </c>
      <c r="D1987" s="1" t="s">
        <v>27</v>
      </c>
      <c r="E1987" s="1">
        <v>200</v>
      </c>
    </row>
    <row r="1988" spans="1:5" x14ac:dyDescent="0.2">
      <c r="A1988" s="205">
        <v>0.64415509259259263</v>
      </c>
      <c r="B1988" s="1" t="s">
        <v>1219</v>
      </c>
      <c r="C1988" s="1">
        <v>105</v>
      </c>
      <c r="D1988" s="1" t="s">
        <v>27</v>
      </c>
      <c r="E1988" s="1">
        <v>220</v>
      </c>
    </row>
    <row r="1989" spans="1:5" x14ac:dyDescent="0.2">
      <c r="A1989" s="205">
        <v>0.64497685185185183</v>
      </c>
      <c r="B1989" s="1" t="s">
        <v>1051</v>
      </c>
      <c r="C1989" s="1">
        <v>93</v>
      </c>
      <c r="D1989" s="1" t="s">
        <v>27</v>
      </c>
      <c r="E1989" s="1">
        <v>-225</v>
      </c>
    </row>
    <row r="1990" spans="1:5" x14ac:dyDescent="0.2">
      <c r="A1990" s="205">
        <v>0.64572916666666669</v>
      </c>
      <c r="B1990" s="1" t="s">
        <v>1213</v>
      </c>
      <c r="C1990" s="1">
        <v>93</v>
      </c>
      <c r="D1990" s="1" t="s">
        <v>27</v>
      </c>
      <c r="E1990" s="1">
        <v>240</v>
      </c>
    </row>
    <row r="1991" spans="1:5" x14ac:dyDescent="0.2">
      <c r="A1991" s="205">
        <v>0.64648148148148155</v>
      </c>
      <c r="B1991" s="1" t="s">
        <v>1218</v>
      </c>
      <c r="C1991" s="1">
        <v>105</v>
      </c>
      <c r="D1991" s="1" t="s">
        <v>27</v>
      </c>
      <c r="E1991" s="1">
        <v>255</v>
      </c>
    </row>
    <row r="1992" spans="1:5" x14ac:dyDescent="0.2">
      <c r="A1992" s="205">
        <v>0.64744212962962966</v>
      </c>
      <c r="B1992" s="1" t="s">
        <v>1043</v>
      </c>
      <c r="C1992" s="1">
        <v>93</v>
      </c>
      <c r="D1992" s="1" t="s">
        <v>31</v>
      </c>
      <c r="E1992" s="1">
        <v>140</v>
      </c>
    </row>
    <row r="1993" spans="1:5" x14ac:dyDescent="0.2">
      <c r="A1993" s="205">
        <v>0.64800925925925923</v>
      </c>
      <c r="B1993" s="1" t="s">
        <v>1217</v>
      </c>
      <c r="C1993" s="1">
        <v>93</v>
      </c>
      <c r="D1993" s="1" t="s">
        <v>31</v>
      </c>
      <c r="E1993" s="1">
        <v>145</v>
      </c>
    </row>
    <row r="1994" spans="1:5" x14ac:dyDescent="0.2">
      <c r="A1994" s="205">
        <v>0.6487384259259259</v>
      </c>
      <c r="B1994" s="1" t="s">
        <v>1215</v>
      </c>
      <c r="C1994" s="1">
        <v>93</v>
      </c>
      <c r="D1994" s="1" t="s">
        <v>31</v>
      </c>
      <c r="E1994" s="1">
        <v>152.5</v>
      </c>
    </row>
    <row r="1995" spans="1:5" x14ac:dyDescent="0.2">
      <c r="A1995" s="205">
        <v>0.64894675925925926</v>
      </c>
      <c r="B1995" s="1" t="s">
        <v>1221</v>
      </c>
      <c r="C1995" s="1">
        <v>83</v>
      </c>
      <c r="D1995" s="1" t="s">
        <v>31</v>
      </c>
      <c r="E1995" s="1">
        <v>160</v>
      </c>
    </row>
    <row r="1996" spans="1:5" x14ac:dyDescent="0.2">
      <c r="A1996" s="205">
        <v>0.64938657407407407</v>
      </c>
      <c r="B1996" s="1" t="s">
        <v>1214</v>
      </c>
      <c r="C1996" s="1">
        <v>93</v>
      </c>
      <c r="D1996" s="1" t="s">
        <v>31</v>
      </c>
      <c r="E1996" s="1">
        <v>175</v>
      </c>
    </row>
    <row r="1997" spans="1:5" x14ac:dyDescent="0.2">
      <c r="A1997" s="205">
        <v>0.65026620370370369</v>
      </c>
      <c r="B1997" s="1" t="s">
        <v>1043</v>
      </c>
      <c r="C1997" s="1">
        <v>93</v>
      </c>
      <c r="D1997" s="1" t="s">
        <v>31</v>
      </c>
      <c r="E1997" s="1">
        <v>140</v>
      </c>
    </row>
    <row r="1998" spans="1:5" x14ac:dyDescent="0.2">
      <c r="A1998" s="205">
        <v>0.65026620370370369</v>
      </c>
      <c r="B1998" s="1" t="s">
        <v>1217</v>
      </c>
      <c r="C1998" s="1">
        <v>93</v>
      </c>
      <c r="D1998" s="1" t="s">
        <v>31</v>
      </c>
      <c r="E1998" s="1">
        <v>145</v>
      </c>
    </row>
    <row r="1999" spans="1:5" x14ac:dyDescent="0.2">
      <c r="A1999" s="205">
        <v>0.65027777777777784</v>
      </c>
      <c r="B1999" s="1" t="s">
        <v>1215</v>
      </c>
      <c r="C1999" s="1">
        <v>93</v>
      </c>
      <c r="D1999" s="1" t="s">
        <v>31</v>
      </c>
      <c r="E1999" s="1">
        <v>152.5</v>
      </c>
    </row>
    <row r="2000" spans="1:5" x14ac:dyDescent="0.2">
      <c r="A2000" s="205">
        <v>0.65028935185185188</v>
      </c>
      <c r="B2000" s="1" t="s">
        <v>1221</v>
      </c>
      <c r="C2000" s="1">
        <v>83</v>
      </c>
      <c r="D2000" s="1" t="s">
        <v>31</v>
      </c>
      <c r="E2000" s="1">
        <v>160</v>
      </c>
    </row>
    <row r="2001" spans="1:6" x14ac:dyDescent="0.2">
      <c r="A2001" s="205">
        <v>0.65090277777777772</v>
      </c>
      <c r="B2001" s="1" t="s">
        <v>1214</v>
      </c>
      <c r="C2001" s="1">
        <v>93</v>
      </c>
      <c r="D2001" s="1" t="s">
        <v>31</v>
      </c>
      <c r="E2001" s="1">
        <v>175</v>
      </c>
    </row>
    <row r="2002" spans="1:6" x14ac:dyDescent="0.2">
      <c r="A2002" s="205">
        <v>0.65144675925925932</v>
      </c>
      <c r="B2002" s="1" t="s">
        <v>1223</v>
      </c>
      <c r="C2002" s="1">
        <v>93</v>
      </c>
      <c r="D2002" s="1" t="s">
        <v>31</v>
      </c>
      <c r="E2002" s="1">
        <v>180</v>
      </c>
    </row>
    <row r="2003" spans="1:6" x14ac:dyDescent="0.2">
      <c r="A2003" s="205">
        <v>0.65212962962962961</v>
      </c>
      <c r="B2003" s="1" t="s">
        <v>1216</v>
      </c>
      <c r="C2003" s="1">
        <v>93</v>
      </c>
      <c r="D2003" s="1" t="s">
        <v>31</v>
      </c>
      <c r="E2003" s="1">
        <v>195</v>
      </c>
    </row>
    <row r="2004" spans="1:6" x14ac:dyDescent="0.2">
      <c r="A2004" s="205">
        <v>0.65276620370370375</v>
      </c>
      <c r="B2004" s="1" t="s">
        <v>1053</v>
      </c>
      <c r="C2004" s="1">
        <v>105</v>
      </c>
      <c r="D2004" s="1" t="s">
        <v>31</v>
      </c>
      <c r="E2004" s="1">
        <v>210</v>
      </c>
    </row>
    <row r="2005" spans="1:6" x14ac:dyDescent="0.2">
      <c r="A2005" s="205">
        <v>0.65372685185185186</v>
      </c>
      <c r="B2005" s="1" t="s">
        <v>1051</v>
      </c>
      <c r="C2005" s="1">
        <v>93</v>
      </c>
      <c r="D2005" s="1" t="s">
        <v>31</v>
      </c>
      <c r="E2005" s="1">
        <v>225</v>
      </c>
    </row>
    <row r="2006" spans="1:6" x14ac:dyDescent="0.2">
      <c r="A2006" s="205">
        <v>0.6544444444444445</v>
      </c>
      <c r="B2006" s="1" t="s">
        <v>1219</v>
      </c>
      <c r="C2006" s="1">
        <v>105</v>
      </c>
      <c r="D2006" s="1" t="s">
        <v>31</v>
      </c>
      <c r="E2006" s="1">
        <v>-232.5</v>
      </c>
      <c r="F2006" s="1">
        <v>605</v>
      </c>
    </row>
    <row r="2007" spans="1:6" x14ac:dyDescent="0.2">
      <c r="A2007" s="205">
        <v>0.65516203703703701</v>
      </c>
      <c r="B2007" s="1" t="s">
        <v>1213</v>
      </c>
      <c r="C2007" s="1">
        <v>93</v>
      </c>
      <c r="D2007" s="1" t="s">
        <v>31</v>
      </c>
      <c r="E2007" s="1">
        <v>-260</v>
      </c>
      <c r="F2007" s="1">
        <v>670</v>
      </c>
    </row>
    <row r="2008" spans="1:6" x14ac:dyDescent="0.2">
      <c r="A2008" s="205">
        <v>0.65597222222222229</v>
      </c>
      <c r="B2008" s="1" t="s">
        <v>1218</v>
      </c>
      <c r="C2008" s="1">
        <v>105</v>
      </c>
      <c r="D2008" s="1" t="s">
        <v>31</v>
      </c>
      <c r="E2008" s="1">
        <v>265</v>
      </c>
    </row>
    <row r="2009" spans="1:6" x14ac:dyDescent="0.2">
      <c r="A2009" s="205">
        <v>0.65684027777777776</v>
      </c>
      <c r="B2009" s="1" t="s">
        <v>1043</v>
      </c>
      <c r="C2009" s="1">
        <v>93</v>
      </c>
      <c r="D2009" s="1" t="s">
        <v>35</v>
      </c>
      <c r="E2009" s="1">
        <v>-145</v>
      </c>
      <c r="F2009" s="1">
        <v>420</v>
      </c>
    </row>
    <row r="2010" spans="1:6" x14ac:dyDescent="0.2">
      <c r="A2010" s="205">
        <v>0.65751157407407412</v>
      </c>
      <c r="B2010" s="1" t="s">
        <v>1217</v>
      </c>
      <c r="C2010" s="1">
        <v>93</v>
      </c>
      <c r="D2010" s="1" t="s">
        <v>35</v>
      </c>
      <c r="E2010" s="1">
        <v>160</v>
      </c>
    </row>
    <row r="2011" spans="1:6" x14ac:dyDescent="0.2">
      <c r="A2011" s="205">
        <v>0.65822916666666664</v>
      </c>
      <c r="B2011" s="1" t="s">
        <v>1215</v>
      </c>
      <c r="C2011" s="1">
        <v>93</v>
      </c>
      <c r="D2011" s="1" t="s">
        <v>35</v>
      </c>
      <c r="E2011" s="1">
        <v>162.5</v>
      </c>
    </row>
    <row r="2012" spans="1:6" x14ac:dyDescent="0.2">
      <c r="A2012" s="205">
        <v>0.65901620370370373</v>
      </c>
      <c r="B2012" s="1" t="s">
        <v>1221</v>
      </c>
      <c r="C2012" s="1">
        <v>83</v>
      </c>
      <c r="D2012" s="1" t="s">
        <v>35</v>
      </c>
      <c r="E2012" s="1">
        <v>180</v>
      </c>
    </row>
    <row r="2013" spans="1:6" x14ac:dyDescent="0.2">
      <c r="A2013" s="205">
        <v>0.65956018518518522</v>
      </c>
      <c r="B2013" s="1" t="s">
        <v>1214</v>
      </c>
      <c r="C2013" s="1">
        <v>93</v>
      </c>
      <c r="D2013" s="1" t="s">
        <v>35</v>
      </c>
      <c r="E2013" s="1">
        <v>180</v>
      </c>
    </row>
    <row r="2014" spans="1:6" x14ac:dyDescent="0.2">
      <c r="A2014" s="205">
        <v>0.66016203703703702</v>
      </c>
      <c r="B2014" s="1" t="s">
        <v>1223</v>
      </c>
      <c r="C2014" s="1">
        <v>93</v>
      </c>
      <c r="D2014" s="1" t="s">
        <v>35</v>
      </c>
      <c r="E2014" s="1">
        <v>-185</v>
      </c>
      <c r="F2014" s="1">
        <v>460</v>
      </c>
    </row>
    <row r="2015" spans="1:6" x14ac:dyDescent="0.2">
      <c r="A2015" s="205">
        <v>0.66108796296296302</v>
      </c>
      <c r="B2015" s="1" t="s">
        <v>1216</v>
      </c>
      <c r="C2015" s="1">
        <v>93</v>
      </c>
      <c r="D2015" s="1" t="s">
        <v>35</v>
      </c>
      <c r="E2015" s="1">
        <v>202.5</v>
      </c>
    </row>
    <row r="2016" spans="1:6" x14ac:dyDescent="0.2">
      <c r="A2016" s="205">
        <v>0.66189814814814818</v>
      </c>
      <c r="B2016" s="1" t="s">
        <v>1053</v>
      </c>
      <c r="C2016" s="1">
        <v>105</v>
      </c>
      <c r="D2016" s="1" t="s">
        <v>35</v>
      </c>
      <c r="E2016" s="1">
        <v>-215</v>
      </c>
      <c r="F2016" s="1">
        <v>555</v>
      </c>
    </row>
    <row r="2017" spans="1:6" x14ac:dyDescent="0.2">
      <c r="A2017" s="205">
        <v>0.66258101851851847</v>
      </c>
      <c r="B2017" s="1" t="s">
        <v>1051</v>
      </c>
      <c r="C2017" s="1">
        <v>93</v>
      </c>
      <c r="D2017" s="1" t="s">
        <v>35</v>
      </c>
      <c r="E2017" s="1">
        <v>-235</v>
      </c>
      <c r="F2017" s="1">
        <v>660</v>
      </c>
    </row>
    <row r="2018" spans="1:6" x14ac:dyDescent="0.2">
      <c r="A2018" s="205">
        <v>0.66324074074074069</v>
      </c>
      <c r="B2018" s="1" t="s">
        <v>1219</v>
      </c>
      <c r="C2018" s="1">
        <v>105</v>
      </c>
      <c r="D2018" s="1" t="s">
        <v>35</v>
      </c>
      <c r="E2018" s="1">
        <v>235</v>
      </c>
    </row>
    <row r="2019" spans="1:6" x14ac:dyDescent="0.2">
      <c r="A2019" s="205">
        <v>0.66399305555555554</v>
      </c>
      <c r="B2019" s="1" t="s">
        <v>1213</v>
      </c>
      <c r="C2019" s="1">
        <v>93</v>
      </c>
      <c r="D2019" s="1" t="s">
        <v>35</v>
      </c>
      <c r="E2019" s="1">
        <v>-260</v>
      </c>
      <c r="F2019" s="1">
        <v>670</v>
      </c>
    </row>
    <row r="2020" spans="1:6" x14ac:dyDescent="0.2">
      <c r="A2020" s="205">
        <v>0.66490740740740739</v>
      </c>
      <c r="B2020" s="1" t="s">
        <v>1218</v>
      </c>
      <c r="C2020" s="1">
        <v>105</v>
      </c>
      <c r="D2020" s="1" t="s">
        <v>35</v>
      </c>
      <c r="E2020" s="1">
        <v>270</v>
      </c>
    </row>
    <row r="2021" spans="1:6" x14ac:dyDescent="0.2">
      <c r="A2021" s="205">
        <v>0.67010416666666661</v>
      </c>
      <c r="B2021" s="1" t="s">
        <v>1202</v>
      </c>
      <c r="C2021" s="1">
        <v>74</v>
      </c>
      <c r="D2021" s="1" t="s">
        <v>29</v>
      </c>
      <c r="E2021" s="1">
        <v>55</v>
      </c>
    </row>
    <row r="2022" spans="1:6" x14ac:dyDescent="0.2">
      <c r="A2022" s="205">
        <v>0.67075231481481479</v>
      </c>
      <c r="B2022" s="1" t="s">
        <v>1203</v>
      </c>
      <c r="C2022" s="1">
        <v>74</v>
      </c>
      <c r="D2022" s="1" t="s">
        <v>29</v>
      </c>
      <c r="E2022" s="1">
        <v>70</v>
      </c>
    </row>
    <row r="2023" spans="1:6" x14ac:dyDescent="0.2">
      <c r="A2023" s="205">
        <v>0.67143518518518519</v>
      </c>
      <c r="B2023" s="1" t="s">
        <v>1204</v>
      </c>
      <c r="C2023" s="1">
        <v>83</v>
      </c>
      <c r="D2023" s="1" t="s">
        <v>29</v>
      </c>
      <c r="E2023" s="1">
        <v>80</v>
      </c>
    </row>
    <row r="2024" spans="1:6" x14ac:dyDescent="0.2">
      <c r="A2024" s="205">
        <v>0.67204861111111114</v>
      </c>
      <c r="B2024" s="1" t="s">
        <v>1207</v>
      </c>
      <c r="C2024" s="1">
        <v>83</v>
      </c>
      <c r="D2024" s="1" t="s">
        <v>29</v>
      </c>
      <c r="E2024" s="1">
        <v>80</v>
      </c>
    </row>
    <row r="2025" spans="1:6" x14ac:dyDescent="0.2">
      <c r="A2025" s="205">
        <v>0.6726967592592592</v>
      </c>
      <c r="B2025" s="1" t="s">
        <v>1205</v>
      </c>
      <c r="C2025" s="1">
        <v>83</v>
      </c>
      <c r="D2025" s="1" t="s">
        <v>29</v>
      </c>
      <c r="E2025" s="1">
        <v>90</v>
      </c>
    </row>
    <row r="2026" spans="1:6" x14ac:dyDescent="0.2">
      <c r="A2026" s="205">
        <v>0.67313657407407401</v>
      </c>
      <c r="B2026" s="1" t="s">
        <v>1222</v>
      </c>
      <c r="C2026" s="1">
        <v>83</v>
      </c>
      <c r="D2026" s="1" t="s">
        <v>29</v>
      </c>
      <c r="E2026" s="1">
        <v>92.5</v>
      </c>
    </row>
    <row r="2027" spans="1:6" x14ac:dyDescent="0.2">
      <c r="A2027" s="205">
        <v>0.67425925925925922</v>
      </c>
      <c r="B2027" s="1" t="s">
        <v>1220</v>
      </c>
      <c r="C2027" s="1">
        <v>74</v>
      </c>
      <c r="D2027" s="1" t="s">
        <v>29</v>
      </c>
      <c r="E2027" s="1">
        <v>100</v>
      </c>
    </row>
    <row r="2028" spans="1:6" x14ac:dyDescent="0.2">
      <c r="A2028" s="205">
        <v>0.67521990740740734</v>
      </c>
      <c r="B2028" s="1" t="s">
        <v>1210</v>
      </c>
      <c r="C2028" s="1">
        <v>83</v>
      </c>
      <c r="D2028" s="1" t="s">
        <v>29</v>
      </c>
      <c r="E2028" s="1">
        <v>100</v>
      </c>
    </row>
    <row r="2029" spans="1:6" x14ac:dyDescent="0.2">
      <c r="A2029" s="205">
        <v>0.67572916666666671</v>
      </c>
      <c r="B2029" s="1" t="s">
        <v>1209</v>
      </c>
      <c r="C2029" s="1">
        <v>83</v>
      </c>
      <c r="D2029" s="1" t="s">
        <v>29</v>
      </c>
      <c r="E2029" s="1">
        <v>-110</v>
      </c>
    </row>
    <row r="2030" spans="1:6" x14ac:dyDescent="0.2">
      <c r="A2030" s="205">
        <v>0.67620370370370375</v>
      </c>
      <c r="B2030" s="1" t="s">
        <v>1212</v>
      </c>
      <c r="C2030" s="1">
        <v>83</v>
      </c>
      <c r="D2030" s="1" t="s">
        <v>29</v>
      </c>
      <c r="E2030" s="1">
        <v>110</v>
      </c>
    </row>
    <row r="2031" spans="1:6" x14ac:dyDescent="0.2">
      <c r="A2031" s="205">
        <v>0.67681712962962959</v>
      </c>
      <c r="B2031" s="1" t="s">
        <v>1206</v>
      </c>
      <c r="C2031" s="1">
        <v>83</v>
      </c>
      <c r="D2031" s="1" t="s">
        <v>29</v>
      </c>
      <c r="E2031" s="1">
        <v>115</v>
      </c>
    </row>
    <row r="2032" spans="1:6" x14ac:dyDescent="0.2">
      <c r="A2032" s="205">
        <v>0.67738425925925927</v>
      </c>
      <c r="B2032" s="1" t="s">
        <v>1200</v>
      </c>
      <c r="C2032" s="1">
        <v>74</v>
      </c>
      <c r="D2032" s="1" t="s">
        <v>29</v>
      </c>
      <c r="E2032" s="1">
        <v>120</v>
      </c>
    </row>
    <row r="2033" spans="1:5" x14ac:dyDescent="0.2">
      <c r="A2033" s="205">
        <v>0.67784722222222227</v>
      </c>
      <c r="B2033" s="1" t="s">
        <v>1208</v>
      </c>
      <c r="C2033" s="1">
        <v>83</v>
      </c>
      <c r="D2033" s="1" t="s">
        <v>29</v>
      </c>
      <c r="E2033" s="1">
        <v>120</v>
      </c>
    </row>
    <row r="2034" spans="1:5" x14ac:dyDescent="0.2">
      <c r="A2034" s="205">
        <v>0.67843749999999992</v>
      </c>
      <c r="B2034" s="1" t="s">
        <v>1211</v>
      </c>
      <c r="C2034" s="1">
        <v>83</v>
      </c>
      <c r="D2034" s="1" t="s">
        <v>29</v>
      </c>
      <c r="E2034" s="1">
        <v>130</v>
      </c>
    </row>
    <row r="2035" spans="1:5" x14ac:dyDescent="0.2">
      <c r="A2035" s="205">
        <v>0.67909722222222213</v>
      </c>
      <c r="B2035" s="1" t="s">
        <v>1202</v>
      </c>
      <c r="C2035" s="1">
        <v>74</v>
      </c>
      <c r="D2035" s="1" t="s">
        <v>33</v>
      </c>
      <c r="E2035" s="1">
        <v>60</v>
      </c>
    </row>
    <row r="2036" spans="1:5" x14ac:dyDescent="0.2">
      <c r="A2036" s="205">
        <v>0.67957175925925928</v>
      </c>
      <c r="B2036" s="1" t="s">
        <v>1203</v>
      </c>
      <c r="C2036" s="1">
        <v>74</v>
      </c>
      <c r="D2036" s="1" t="s">
        <v>33</v>
      </c>
      <c r="E2036" s="1">
        <v>75</v>
      </c>
    </row>
    <row r="2037" spans="1:5" x14ac:dyDescent="0.2">
      <c r="A2037" s="205">
        <v>0.68017361111111108</v>
      </c>
      <c r="B2037" s="1" t="s">
        <v>1204</v>
      </c>
      <c r="C2037" s="1">
        <v>83</v>
      </c>
      <c r="D2037" s="1" t="s">
        <v>33</v>
      </c>
      <c r="E2037" s="1">
        <v>82.5</v>
      </c>
    </row>
    <row r="2038" spans="1:5" x14ac:dyDescent="0.2">
      <c r="A2038" s="205">
        <v>0.68072916666666661</v>
      </c>
      <c r="B2038" s="1" t="s">
        <v>1207</v>
      </c>
      <c r="C2038" s="1">
        <v>83</v>
      </c>
      <c r="D2038" s="1" t="s">
        <v>33</v>
      </c>
      <c r="E2038" s="1">
        <v>90</v>
      </c>
    </row>
    <row r="2039" spans="1:5" x14ac:dyDescent="0.2">
      <c r="A2039" s="205">
        <v>0.68134259259259267</v>
      </c>
      <c r="B2039" s="1" t="s">
        <v>1222</v>
      </c>
      <c r="C2039" s="1">
        <v>83</v>
      </c>
      <c r="D2039" s="1" t="s">
        <v>33</v>
      </c>
      <c r="E2039" s="1">
        <v>100</v>
      </c>
    </row>
    <row r="2040" spans="1:5" x14ac:dyDescent="0.2">
      <c r="A2040" s="205">
        <v>0.68202546296296296</v>
      </c>
      <c r="B2040" s="1" t="s">
        <v>1205</v>
      </c>
      <c r="C2040" s="1">
        <v>83</v>
      </c>
      <c r="D2040" s="1" t="s">
        <v>33</v>
      </c>
      <c r="E2040" s="1">
        <v>100</v>
      </c>
    </row>
    <row r="2041" spans="1:5" x14ac:dyDescent="0.2">
      <c r="A2041" s="205">
        <v>0.68295138888888884</v>
      </c>
      <c r="B2041" s="1" t="s">
        <v>1220</v>
      </c>
      <c r="C2041" s="1">
        <v>74</v>
      </c>
      <c r="D2041" s="1" t="s">
        <v>33</v>
      </c>
      <c r="E2041" s="1">
        <v>107.5</v>
      </c>
    </row>
    <row r="2042" spans="1:5" x14ac:dyDescent="0.2">
      <c r="A2042" s="205">
        <v>0.68357638888888894</v>
      </c>
      <c r="B2042" s="1" t="s">
        <v>1210</v>
      </c>
      <c r="C2042" s="1">
        <v>83</v>
      </c>
      <c r="D2042" s="1" t="s">
        <v>33</v>
      </c>
      <c r="E2042" s="1">
        <v>115</v>
      </c>
    </row>
    <row r="2043" spans="1:5" x14ac:dyDescent="0.2">
      <c r="A2043" s="205">
        <v>0.68410879629629628</v>
      </c>
      <c r="B2043" s="1" t="s">
        <v>1212</v>
      </c>
      <c r="C2043" s="1">
        <v>83</v>
      </c>
      <c r="D2043" s="1" t="s">
        <v>33</v>
      </c>
      <c r="E2043" s="1">
        <v>115</v>
      </c>
    </row>
    <row r="2044" spans="1:5" x14ac:dyDescent="0.2">
      <c r="A2044" s="205">
        <v>0.68457175925925917</v>
      </c>
      <c r="B2044" s="1" t="s">
        <v>1209</v>
      </c>
      <c r="C2044" s="1">
        <v>83</v>
      </c>
      <c r="D2044" s="1" t="s">
        <v>33</v>
      </c>
      <c r="E2044" s="1">
        <v>120</v>
      </c>
    </row>
    <row r="2045" spans="1:5" x14ac:dyDescent="0.2">
      <c r="A2045" s="205">
        <v>0.68518518518518512</v>
      </c>
      <c r="B2045" s="1" t="s">
        <v>1206</v>
      </c>
      <c r="C2045" s="1">
        <v>83</v>
      </c>
      <c r="D2045" s="1" t="s">
        <v>33</v>
      </c>
      <c r="E2045" s="1">
        <v>122.5</v>
      </c>
    </row>
    <row r="2046" spans="1:5" x14ac:dyDescent="0.2">
      <c r="A2046" s="205">
        <v>0.68583333333333341</v>
      </c>
      <c r="B2046" s="1" t="s">
        <v>1200</v>
      </c>
      <c r="C2046" s="1">
        <v>74</v>
      </c>
      <c r="D2046" s="1" t="s">
        <v>33</v>
      </c>
      <c r="E2046" s="1">
        <v>125</v>
      </c>
    </row>
    <row r="2047" spans="1:5" x14ac:dyDescent="0.2">
      <c r="A2047" s="205">
        <v>0.68637731481481479</v>
      </c>
      <c r="B2047" s="1" t="s">
        <v>1208</v>
      </c>
      <c r="C2047" s="1">
        <v>83</v>
      </c>
      <c r="D2047" s="1" t="s">
        <v>33</v>
      </c>
      <c r="E2047" s="1">
        <v>135</v>
      </c>
    </row>
    <row r="2048" spans="1:5" x14ac:dyDescent="0.2">
      <c r="A2048" s="205">
        <v>0.68690972222222213</v>
      </c>
      <c r="B2048" s="1" t="s">
        <v>1211</v>
      </c>
      <c r="C2048" s="1">
        <v>83</v>
      </c>
      <c r="D2048" s="1" t="s">
        <v>33</v>
      </c>
      <c r="E2048" s="1">
        <v>140</v>
      </c>
    </row>
    <row r="2049" spans="1:6" x14ac:dyDescent="0.2">
      <c r="A2049" s="205">
        <v>0.68767361111111114</v>
      </c>
      <c r="B2049" s="1" t="s">
        <v>1202</v>
      </c>
      <c r="C2049" s="1">
        <v>74</v>
      </c>
      <c r="D2049" s="1" t="s">
        <v>37</v>
      </c>
      <c r="E2049" s="1">
        <v>-65</v>
      </c>
      <c r="F2049" s="1">
        <v>260</v>
      </c>
    </row>
    <row r="2050" spans="1:6" x14ac:dyDescent="0.2">
      <c r="A2050" s="205">
        <v>0.68822916666666656</v>
      </c>
      <c r="B2050" s="1" t="s">
        <v>1203</v>
      </c>
      <c r="C2050" s="1">
        <v>74</v>
      </c>
      <c r="D2050" s="1" t="s">
        <v>37</v>
      </c>
      <c r="E2050" s="1">
        <v>-80</v>
      </c>
      <c r="F2050" s="1">
        <v>320</v>
      </c>
    </row>
    <row r="2051" spans="1:6" x14ac:dyDescent="0.2">
      <c r="A2051" s="205">
        <v>0.68885416666666666</v>
      </c>
      <c r="B2051" s="1" t="s">
        <v>1204</v>
      </c>
      <c r="C2051" s="1">
        <v>83</v>
      </c>
      <c r="D2051" s="1" t="s">
        <v>37</v>
      </c>
      <c r="E2051" s="1">
        <v>85</v>
      </c>
    </row>
    <row r="2052" spans="1:6" x14ac:dyDescent="0.2">
      <c r="A2052" s="205">
        <v>0.68956018518518514</v>
      </c>
      <c r="B2052" s="1" t="s">
        <v>1207</v>
      </c>
      <c r="C2052" s="1">
        <v>83</v>
      </c>
      <c r="D2052" s="1" t="s">
        <v>37</v>
      </c>
      <c r="E2052" s="1">
        <v>97.5</v>
      </c>
    </row>
    <row r="2053" spans="1:6" x14ac:dyDescent="0.2">
      <c r="A2053" s="205">
        <v>0.68969907407407405</v>
      </c>
      <c r="B2053" s="1" t="s">
        <v>1222</v>
      </c>
      <c r="C2053" s="1">
        <v>83</v>
      </c>
      <c r="D2053" s="1" t="s">
        <v>37</v>
      </c>
      <c r="E2053" s="1">
        <v>105</v>
      </c>
    </row>
    <row r="2054" spans="1:6" x14ac:dyDescent="0.2">
      <c r="A2054" s="205">
        <v>0.69006944444444451</v>
      </c>
      <c r="B2054" s="1" t="s">
        <v>1222</v>
      </c>
      <c r="C2054" s="1">
        <v>83</v>
      </c>
      <c r="D2054" s="1" t="s">
        <v>37</v>
      </c>
      <c r="E2054" s="1">
        <v>-105</v>
      </c>
      <c r="F2054" s="1">
        <v>400</v>
      </c>
    </row>
    <row r="2055" spans="1:6" x14ac:dyDescent="0.2">
      <c r="A2055" s="205">
        <v>0.69071759259259258</v>
      </c>
      <c r="B2055" s="1" t="s">
        <v>1205</v>
      </c>
      <c r="C2055" s="1">
        <v>83</v>
      </c>
      <c r="D2055" s="1" t="s">
        <v>37</v>
      </c>
      <c r="E2055" s="1">
        <v>-105</v>
      </c>
      <c r="F2055" s="1">
        <v>495</v>
      </c>
    </row>
    <row r="2056" spans="1:6" x14ac:dyDescent="0.2">
      <c r="A2056" s="205">
        <v>0.69130787037037045</v>
      </c>
      <c r="B2056" s="1" t="s">
        <v>1212</v>
      </c>
      <c r="C2056" s="1">
        <v>83</v>
      </c>
      <c r="D2056" s="1" t="s">
        <v>37</v>
      </c>
      <c r="E2056" s="1">
        <v>-120</v>
      </c>
      <c r="F2056" s="1">
        <v>465</v>
      </c>
    </row>
    <row r="2057" spans="1:6" x14ac:dyDescent="0.2">
      <c r="A2057" s="205">
        <v>0.69212962962962965</v>
      </c>
      <c r="B2057" s="1" t="s">
        <v>1210</v>
      </c>
      <c r="C2057" s="1">
        <v>83</v>
      </c>
      <c r="D2057" s="1" t="s">
        <v>37</v>
      </c>
      <c r="E2057" s="1">
        <v>125</v>
      </c>
    </row>
    <row r="2058" spans="1:6" x14ac:dyDescent="0.2">
      <c r="A2058" s="205">
        <v>0.69287037037037036</v>
      </c>
      <c r="B2058" s="1" t="s">
        <v>1206</v>
      </c>
      <c r="C2058" s="1">
        <v>83</v>
      </c>
      <c r="D2058" s="1" t="s">
        <v>37</v>
      </c>
      <c r="E2058" s="1">
        <v>-127.5</v>
      </c>
      <c r="F2058" s="1">
        <v>440</v>
      </c>
    </row>
    <row r="2059" spans="1:6" x14ac:dyDescent="0.2">
      <c r="A2059" s="205">
        <v>0.69344907407407408</v>
      </c>
      <c r="B2059" s="1" t="s">
        <v>1200</v>
      </c>
      <c r="C2059" s="1">
        <v>74</v>
      </c>
      <c r="D2059" s="1" t="s">
        <v>37</v>
      </c>
      <c r="E2059" s="1">
        <v>130</v>
      </c>
    </row>
    <row r="2060" spans="1:6" x14ac:dyDescent="0.2">
      <c r="A2060" s="205">
        <v>0.69399305555555557</v>
      </c>
      <c r="B2060" s="1" t="s">
        <v>1209</v>
      </c>
      <c r="C2060" s="1">
        <v>83</v>
      </c>
      <c r="D2060" s="1" t="s">
        <v>37</v>
      </c>
      <c r="E2060" s="1">
        <v>130</v>
      </c>
    </row>
    <row r="2061" spans="1:6" x14ac:dyDescent="0.2">
      <c r="A2061" s="205">
        <v>0.69451388888888888</v>
      </c>
      <c r="B2061" s="1" t="s">
        <v>1208</v>
      </c>
      <c r="C2061" s="1">
        <v>83</v>
      </c>
      <c r="D2061" s="1" t="s">
        <v>37</v>
      </c>
      <c r="E2061" s="1">
        <v>140</v>
      </c>
    </row>
    <row r="2062" spans="1:6" x14ac:dyDescent="0.2">
      <c r="A2062" s="205">
        <v>0.69510416666666675</v>
      </c>
      <c r="B2062" s="1" t="s">
        <v>1211</v>
      </c>
      <c r="C2062" s="1">
        <v>83</v>
      </c>
      <c r="D2062" s="1" t="s">
        <v>37</v>
      </c>
      <c r="E2062" s="1">
        <v>145</v>
      </c>
    </row>
    <row r="2063" spans="1:6" x14ac:dyDescent="0.2">
      <c r="A2063" s="205">
        <v>0.69738425925925929</v>
      </c>
      <c r="B2063" s="1" t="s">
        <v>1217</v>
      </c>
      <c r="C2063" s="1">
        <v>93</v>
      </c>
      <c r="D2063" s="1" t="s">
        <v>29</v>
      </c>
      <c r="E2063" s="1">
        <v>85</v>
      </c>
    </row>
    <row r="2064" spans="1:6" x14ac:dyDescent="0.2">
      <c r="A2064" s="205">
        <v>0.69802083333333342</v>
      </c>
      <c r="B2064" s="1" t="s">
        <v>1221</v>
      </c>
      <c r="C2064" s="1">
        <v>83</v>
      </c>
      <c r="D2064" s="1" t="s">
        <v>29</v>
      </c>
      <c r="E2064" s="1">
        <v>100</v>
      </c>
    </row>
    <row r="2065" spans="1:5" x14ac:dyDescent="0.2">
      <c r="A2065" s="205">
        <v>0.69868055555555564</v>
      </c>
      <c r="B2065" s="1" t="s">
        <v>1043</v>
      </c>
      <c r="C2065" s="1">
        <v>93</v>
      </c>
      <c r="D2065" s="1" t="s">
        <v>29</v>
      </c>
      <c r="E2065" s="1">
        <v>-110</v>
      </c>
    </row>
    <row r="2066" spans="1:5" x14ac:dyDescent="0.2">
      <c r="A2066" s="205">
        <v>0.69928240740740744</v>
      </c>
      <c r="B2066" s="1" t="s">
        <v>1215</v>
      </c>
      <c r="C2066" s="1">
        <v>93</v>
      </c>
      <c r="D2066" s="1" t="s">
        <v>29</v>
      </c>
      <c r="E2066" s="1">
        <v>110</v>
      </c>
    </row>
    <row r="2067" spans="1:5" x14ac:dyDescent="0.2">
      <c r="A2067" s="205">
        <v>0.70012731481481483</v>
      </c>
      <c r="B2067" s="1" t="s">
        <v>1216</v>
      </c>
      <c r="C2067" s="1">
        <v>93</v>
      </c>
      <c r="D2067" s="1" t="s">
        <v>29</v>
      </c>
      <c r="E2067" s="1">
        <v>120</v>
      </c>
    </row>
    <row r="2068" spans="1:5" x14ac:dyDescent="0.2">
      <c r="A2068" s="205">
        <v>0.70077546296296289</v>
      </c>
      <c r="B2068" s="1" t="s">
        <v>1214</v>
      </c>
      <c r="C2068" s="1">
        <v>93</v>
      </c>
      <c r="D2068" s="1" t="s">
        <v>29</v>
      </c>
      <c r="E2068" s="1">
        <v>130</v>
      </c>
    </row>
    <row r="2069" spans="1:5" x14ac:dyDescent="0.2">
      <c r="A2069" s="205">
        <v>0.7012152777777777</v>
      </c>
      <c r="B2069" s="1" t="s">
        <v>1223</v>
      </c>
      <c r="C2069" s="1">
        <v>93</v>
      </c>
      <c r="D2069" s="1" t="s">
        <v>29</v>
      </c>
      <c r="E2069" s="1">
        <v>130</v>
      </c>
    </row>
    <row r="2070" spans="1:5" x14ac:dyDescent="0.2">
      <c r="A2070" s="205">
        <v>0.70193287037037033</v>
      </c>
      <c r="B2070" s="1" t="s">
        <v>1053</v>
      </c>
      <c r="C2070" s="1">
        <v>105</v>
      </c>
      <c r="D2070" s="1" t="s">
        <v>29</v>
      </c>
      <c r="E2070" s="1">
        <v>-145</v>
      </c>
    </row>
    <row r="2071" spans="1:5" x14ac:dyDescent="0.2">
      <c r="A2071" s="205">
        <v>0.70255787037037043</v>
      </c>
      <c r="B2071" s="1" t="s">
        <v>1213</v>
      </c>
      <c r="C2071" s="1">
        <v>93</v>
      </c>
      <c r="D2071" s="1" t="s">
        <v>29</v>
      </c>
      <c r="E2071" s="1">
        <v>160</v>
      </c>
    </row>
    <row r="2072" spans="1:5" x14ac:dyDescent="0.2">
      <c r="A2072" s="205">
        <v>0.70315972222222223</v>
      </c>
      <c r="B2072" s="1" t="s">
        <v>1218</v>
      </c>
      <c r="C2072" s="1">
        <v>105</v>
      </c>
      <c r="D2072" s="1" t="s">
        <v>29</v>
      </c>
      <c r="E2072" s="1">
        <v>165</v>
      </c>
    </row>
    <row r="2073" spans="1:5" x14ac:dyDescent="0.2">
      <c r="A2073" s="205">
        <v>0.70374999999999999</v>
      </c>
      <c r="B2073" s="1" t="s">
        <v>1219</v>
      </c>
      <c r="C2073" s="1">
        <v>105</v>
      </c>
      <c r="D2073" s="1" t="s">
        <v>29</v>
      </c>
      <c r="E2073" s="1">
        <v>165</v>
      </c>
    </row>
    <row r="2074" spans="1:5" x14ac:dyDescent="0.2">
      <c r="A2074" s="205">
        <v>0.70461805555555557</v>
      </c>
      <c r="B2074" s="1" t="s">
        <v>1051</v>
      </c>
      <c r="C2074" s="1">
        <v>93</v>
      </c>
      <c r="D2074" s="1" t="s">
        <v>29</v>
      </c>
      <c r="E2074" s="1">
        <v>225</v>
      </c>
    </row>
    <row r="2075" spans="1:5" x14ac:dyDescent="0.2">
      <c r="A2075" s="205">
        <v>0.70538194444444446</v>
      </c>
      <c r="B2075" s="1" t="s">
        <v>1217</v>
      </c>
      <c r="C2075" s="1">
        <v>93</v>
      </c>
      <c r="D2075" s="1" t="s">
        <v>33</v>
      </c>
      <c r="E2075" s="1">
        <v>90</v>
      </c>
    </row>
    <row r="2076" spans="1:5" x14ac:dyDescent="0.2">
      <c r="A2076" s="205">
        <v>0.70589120370370362</v>
      </c>
      <c r="B2076" s="1" t="s">
        <v>1221</v>
      </c>
      <c r="C2076" s="1">
        <v>83</v>
      </c>
      <c r="D2076" s="1" t="s">
        <v>33</v>
      </c>
      <c r="E2076" s="1">
        <v>110</v>
      </c>
    </row>
    <row r="2077" spans="1:5" x14ac:dyDescent="0.2">
      <c r="A2077" s="205">
        <v>0.70659722222222221</v>
      </c>
      <c r="B2077" s="1" t="s">
        <v>1043</v>
      </c>
      <c r="C2077" s="1">
        <v>93</v>
      </c>
      <c r="D2077" s="1" t="s">
        <v>33</v>
      </c>
      <c r="E2077" s="1">
        <v>-110</v>
      </c>
    </row>
    <row r="2078" spans="1:5" x14ac:dyDescent="0.2">
      <c r="A2078" s="205">
        <v>0.70724537037037039</v>
      </c>
      <c r="B2078" s="1" t="s">
        <v>1215</v>
      </c>
      <c r="C2078" s="1">
        <v>93</v>
      </c>
      <c r="D2078" s="1" t="s">
        <v>33</v>
      </c>
      <c r="E2078" s="1">
        <v>117.5</v>
      </c>
    </row>
    <row r="2079" spans="1:5" x14ac:dyDescent="0.2">
      <c r="A2079" s="205">
        <v>0.708125</v>
      </c>
      <c r="B2079" s="1" t="s">
        <v>1216</v>
      </c>
      <c r="C2079" s="1">
        <v>93</v>
      </c>
      <c r="D2079" s="1" t="s">
        <v>33</v>
      </c>
      <c r="E2079" s="1">
        <v>130</v>
      </c>
    </row>
    <row r="2080" spans="1:5" x14ac:dyDescent="0.2">
      <c r="A2080" s="205">
        <v>0.70870370370370372</v>
      </c>
      <c r="B2080" s="1" t="s">
        <v>1214</v>
      </c>
      <c r="C2080" s="1">
        <v>93</v>
      </c>
      <c r="D2080" s="1" t="s">
        <v>33</v>
      </c>
      <c r="E2080" s="1">
        <v>135</v>
      </c>
    </row>
    <row r="2081" spans="1:6" x14ac:dyDescent="0.2">
      <c r="A2081" s="205">
        <v>0.70922453703703703</v>
      </c>
      <c r="B2081" s="1" t="s">
        <v>1223</v>
      </c>
      <c r="C2081" s="1">
        <v>93</v>
      </c>
      <c r="D2081" s="1" t="s">
        <v>33</v>
      </c>
      <c r="E2081" s="1">
        <v>-140</v>
      </c>
      <c r="F2081" s="1">
        <v>460</v>
      </c>
    </row>
    <row r="2082" spans="1:6" x14ac:dyDescent="0.2">
      <c r="A2082" s="205">
        <v>0.70993055555555562</v>
      </c>
      <c r="B2082" s="1" t="s">
        <v>1053</v>
      </c>
      <c r="C2082" s="1">
        <v>105</v>
      </c>
      <c r="D2082" s="1" t="s">
        <v>33</v>
      </c>
      <c r="E2082" s="1">
        <v>150</v>
      </c>
    </row>
    <row r="2083" spans="1:6" x14ac:dyDescent="0.2">
      <c r="A2083" s="205">
        <v>0.71064814814814825</v>
      </c>
      <c r="B2083" s="1" t="s">
        <v>1213</v>
      </c>
      <c r="C2083" s="1">
        <v>93</v>
      </c>
      <c r="D2083" s="1" t="s">
        <v>33</v>
      </c>
      <c r="E2083" s="1">
        <v>170</v>
      </c>
    </row>
    <row r="2084" spans="1:6" x14ac:dyDescent="0.2">
      <c r="A2084" s="205">
        <v>0.71126157407407409</v>
      </c>
      <c r="B2084" s="1" t="s">
        <v>1218</v>
      </c>
      <c r="C2084" s="1">
        <v>105</v>
      </c>
      <c r="D2084" s="1" t="s">
        <v>33</v>
      </c>
      <c r="E2084" s="1">
        <v>170</v>
      </c>
    </row>
    <row r="2085" spans="1:6" x14ac:dyDescent="0.2">
      <c r="A2085" s="205">
        <v>0.71193287037037034</v>
      </c>
      <c r="B2085" s="1" t="s">
        <v>1219</v>
      </c>
      <c r="C2085" s="1">
        <v>105</v>
      </c>
      <c r="D2085" s="1" t="s">
        <v>33</v>
      </c>
      <c r="E2085" s="1">
        <v>-175</v>
      </c>
      <c r="F2085" s="1">
        <v>620</v>
      </c>
    </row>
    <row r="2086" spans="1:6" x14ac:dyDescent="0.2">
      <c r="A2086" s="205">
        <v>0.71278935185185188</v>
      </c>
      <c r="B2086" s="1" t="s">
        <v>1051</v>
      </c>
      <c r="C2086" s="1">
        <v>93</v>
      </c>
      <c r="D2086" s="1" t="s">
        <v>33</v>
      </c>
      <c r="E2086" s="1">
        <v>-235</v>
      </c>
      <c r="F2086" s="1">
        <v>660</v>
      </c>
    </row>
    <row r="2087" spans="1:6" x14ac:dyDescent="0.2">
      <c r="A2087" s="205">
        <v>0.71349537037037036</v>
      </c>
      <c r="B2087" s="1" t="s">
        <v>1217</v>
      </c>
      <c r="C2087" s="1">
        <v>93</v>
      </c>
      <c r="D2087" s="1" t="s">
        <v>37</v>
      </c>
      <c r="E2087" s="1">
        <v>-100</v>
      </c>
      <c r="F2087" s="1">
        <v>410</v>
      </c>
    </row>
    <row r="2088" spans="1:6" x14ac:dyDescent="0.2">
      <c r="A2088" s="205">
        <v>0.71425925925925926</v>
      </c>
      <c r="B2088" s="1" t="s">
        <v>1043</v>
      </c>
      <c r="C2088" s="1">
        <v>93</v>
      </c>
      <c r="D2088" s="1" t="s">
        <v>37</v>
      </c>
      <c r="E2088" s="1">
        <v>110</v>
      </c>
    </row>
    <row r="2089" spans="1:6" x14ac:dyDescent="0.2">
      <c r="A2089" s="205">
        <v>0.71486111111111106</v>
      </c>
      <c r="B2089" s="1" t="s">
        <v>1221</v>
      </c>
      <c r="C2089" s="1">
        <v>83</v>
      </c>
      <c r="D2089" s="1" t="s">
        <v>37</v>
      </c>
      <c r="E2089" s="1">
        <v>120</v>
      </c>
    </row>
    <row r="2090" spans="1:6" x14ac:dyDescent="0.2">
      <c r="A2090" s="205">
        <v>0.71561342592592592</v>
      </c>
      <c r="B2090" s="1" t="s">
        <v>1215</v>
      </c>
      <c r="C2090" s="1">
        <v>93</v>
      </c>
      <c r="D2090" s="1" t="s">
        <v>37</v>
      </c>
      <c r="E2090" s="1">
        <v>125</v>
      </c>
    </row>
    <row r="2091" spans="1:6" x14ac:dyDescent="0.2">
      <c r="A2091" s="205">
        <v>0.71725694444444443</v>
      </c>
      <c r="B2091" s="1" t="s">
        <v>1214</v>
      </c>
      <c r="C2091" s="1">
        <v>93</v>
      </c>
      <c r="D2091" s="1" t="s">
        <v>37</v>
      </c>
      <c r="E2091" s="1">
        <v>137.5</v>
      </c>
    </row>
    <row r="2092" spans="1:6" x14ac:dyDescent="0.2">
      <c r="A2092" s="205">
        <v>0.7177662037037037</v>
      </c>
      <c r="B2092" s="1" t="s">
        <v>1223</v>
      </c>
      <c r="C2092" s="1">
        <v>93</v>
      </c>
      <c r="D2092" s="1" t="s">
        <v>37</v>
      </c>
      <c r="E2092" s="1">
        <v>140</v>
      </c>
    </row>
    <row r="2093" spans="1:6" x14ac:dyDescent="0.2">
      <c r="A2093" s="205">
        <v>0.71842592592592591</v>
      </c>
      <c r="B2093" s="1" t="s">
        <v>1053</v>
      </c>
      <c r="C2093" s="1">
        <v>105</v>
      </c>
      <c r="D2093" s="1" t="s">
        <v>37</v>
      </c>
      <c r="E2093" s="1">
        <v>160</v>
      </c>
    </row>
    <row r="2094" spans="1:6" x14ac:dyDescent="0.2">
      <c r="A2094" s="205">
        <v>0.719212962962963</v>
      </c>
      <c r="B2094" s="1" t="s">
        <v>1213</v>
      </c>
      <c r="C2094" s="1">
        <v>93</v>
      </c>
      <c r="D2094" s="1" t="s">
        <v>37</v>
      </c>
      <c r="E2094" s="1">
        <v>-175</v>
      </c>
      <c r="F2094" s="1">
        <v>670</v>
      </c>
    </row>
    <row r="2095" spans="1:6" x14ac:dyDescent="0.2">
      <c r="A2095" s="205">
        <v>0.7197337962962963</v>
      </c>
      <c r="B2095" s="1" t="s">
        <v>1219</v>
      </c>
      <c r="C2095" s="1">
        <v>105</v>
      </c>
      <c r="D2095" s="1" t="s">
        <v>37</v>
      </c>
      <c r="E2095" s="1">
        <v>175</v>
      </c>
    </row>
    <row r="2096" spans="1:6" x14ac:dyDescent="0.2">
      <c r="A2096" s="205">
        <v>0.72061342592592592</v>
      </c>
      <c r="B2096" s="1" t="s">
        <v>1051</v>
      </c>
      <c r="C2096" s="1">
        <v>93</v>
      </c>
      <c r="D2096" s="1" t="s">
        <v>37</v>
      </c>
      <c r="E2096" s="1">
        <v>-235</v>
      </c>
      <c r="F2096" s="1">
        <v>660</v>
      </c>
    </row>
    <row r="2097" spans="1:6" x14ac:dyDescent="0.2">
      <c r="A2097" s="205">
        <v>0.7244560185185186</v>
      </c>
      <c r="B2097" s="1" t="s">
        <v>1204</v>
      </c>
      <c r="C2097" s="1">
        <v>83</v>
      </c>
      <c r="D2097" s="1" t="s">
        <v>30</v>
      </c>
      <c r="E2097" s="1">
        <v>70</v>
      </c>
      <c r="F2097" s="1">
        <v>250</v>
      </c>
    </row>
    <row r="2098" spans="1:6" x14ac:dyDescent="0.2">
      <c r="A2098" s="205">
        <v>0.72525462962962972</v>
      </c>
      <c r="B2098" s="1" t="s">
        <v>1202</v>
      </c>
      <c r="C2098" s="1">
        <v>74</v>
      </c>
      <c r="D2098" s="1" t="s">
        <v>30</v>
      </c>
      <c r="E2098" s="1">
        <v>100</v>
      </c>
      <c r="F2098" s="1">
        <v>260</v>
      </c>
    </row>
    <row r="2099" spans="1:6" x14ac:dyDescent="0.2">
      <c r="A2099" s="205">
        <v>0.7257986111111111</v>
      </c>
      <c r="B2099" s="1" t="s">
        <v>1203</v>
      </c>
      <c r="C2099" s="1">
        <v>74</v>
      </c>
      <c r="D2099" s="1" t="s">
        <v>30</v>
      </c>
      <c r="E2099" s="1">
        <v>120</v>
      </c>
      <c r="F2099" s="1">
        <v>320</v>
      </c>
    </row>
    <row r="2100" spans="1:6" x14ac:dyDescent="0.2">
      <c r="A2100" s="205">
        <v>0.72638888888888886</v>
      </c>
      <c r="B2100" s="1" t="s">
        <v>1222</v>
      </c>
      <c r="C2100" s="1">
        <v>83</v>
      </c>
      <c r="D2100" s="1" t="s">
        <v>30</v>
      </c>
      <c r="E2100" s="1">
        <v>150</v>
      </c>
      <c r="F2100" s="1">
        <v>400</v>
      </c>
    </row>
    <row r="2101" spans="1:6" x14ac:dyDescent="0.2">
      <c r="A2101" s="205">
        <v>0.72689814814814813</v>
      </c>
      <c r="B2101" s="1" t="s">
        <v>1206</v>
      </c>
      <c r="C2101" s="1">
        <v>83</v>
      </c>
      <c r="D2101" s="1" t="s">
        <v>30</v>
      </c>
      <c r="E2101" s="1">
        <v>155</v>
      </c>
      <c r="F2101" s="1">
        <v>440</v>
      </c>
    </row>
    <row r="2102" spans="1:6" x14ac:dyDescent="0.2">
      <c r="A2102" s="205">
        <v>0.72741898148148154</v>
      </c>
      <c r="B2102" s="1" t="s">
        <v>1220</v>
      </c>
      <c r="C2102" s="1">
        <v>74</v>
      </c>
      <c r="D2102" s="1" t="s">
        <v>30</v>
      </c>
      <c r="E2102" s="1">
        <v>160</v>
      </c>
      <c r="F2102" s="1">
        <v>417.5</v>
      </c>
    </row>
    <row r="2103" spans="1:6" x14ac:dyDescent="0.2">
      <c r="A2103" s="205">
        <v>0.7279282407407407</v>
      </c>
      <c r="B2103" s="1" t="s">
        <v>1207</v>
      </c>
      <c r="C2103" s="1">
        <v>83</v>
      </c>
      <c r="D2103" s="1" t="s">
        <v>30</v>
      </c>
      <c r="E2103" s="1">
        <v>-165</v>
      </c>
    </row>
    <row r="2104" spans="1:6" x14ac:dyDescent="0.2">
      <c r="A2104" s="205">
        <v>0.72842592592592592</v>
      </c>
      <c r="B2104" s="1" t="s">
        <v>1211</v>
      </c>
      <c r="C2104" s="1">
        <v>83</v>
      </c>
      <c r="D2104" s="1" t="s">
        <v>30</v>
      </c>
      <c r="E2104" s="1">
        <v>165</v>
      </c>
      <c r="F2104" s="1">
        <v>507.5</v>
      </c>
    </row>
    <row r="2105" spans="1:6" x14ac:dyDescent="0.2">
      <c r="A2105" s="205">
        <v>0.7290740740740741</v>
      </c>
      <c r="B2105" s="1" t="s">
        <v>1200</v>
      </c>
      <c r="C2105" s="1">
        <v>74</v>
      </c>
      <c r="D2105" s="1" t="s">
        <v>30</v>
      </c>
      <c r="E2105" s="1">
        <v>175</v>
      </c>
      <c r="F2105" s="1">
        <v>495</v>
      </c>
    </row>
    <row r="2106" spans="1:6" x14ac:dyDescent="0.2">
      <c r="A2106" s="205">
        <v>0.72946759259259253</v>
      </c>
      <c r="B2106" s="1" t="s">
        <v>1208</v>
      </c>
      <c r="C2106" s="1">
        <v>83</v>
      </c>
      <c r="D2106" s="1" t="s">
        <v>30</v>
      </c>
      <c r="E2106" s="1">
        <v>180</v>
      </c>
      <c r="F2106" s="1">
        <v>510</v>
      </c>
    </row>
    <row r="2107" spans="1:6" x14ac:dyDescent="0.2">
      <c r="A2107" s="205">
        <v>0.73006944444444455</v>
      </c>
      <c r="B2107" s="1" t="s">
        <v>1205</v>
      </c>
      <c r="C2107" s="1">
        <v>83</v>
      </c>
      <c r="D2107" s="1" t="s">
        <v>30</v>
      </c>
      <c r="E2107" s="1">
        <v>190</v>
      </c>
      <c r="F2107" s="1">
        <v>495</v>
      </c>
    </row>
    <row r="2108" spans="1:6" x14ac:dyDescent="0.2">
      <c r="A2108" s="205">
        <v>0.73040509259259256</v>
      </c>
      <c r="B2108" s="1" t="s">
        <v>1209</v>
      </c>
      <c r="C2108" s="1">
        <v>83</v>
      </c>
      <c r="D2108" s="1" t="s">
        <v>30</v>
      </c>
      <c r="E2108" s="1">
        <v>190</v>
      </c>
      <c r="F2108" s="1">
        <v>515</v>
      </c>
    </row>
    <row r="2109" spans="1:6" x14ac:dyDescent="0.2">
      <c r="A2109" s="205">
        <v>0.73084490740740737</v>
      </c>
      <c r="B2109" s="1" t="s">
        <v>1210</v>
      </c>
      <c r="C2109" s="1">
        <v>83</v>
      </c>
      <c r="D2109" s="1" t="s">
        <v>30</v>
      </c>
      <c r="E2109" s="1">
        <v>190</v>
      </c>
      <c r="F2109" s="1">
        <v>477.5</v>
      </c>
    </row>
    <row r="2110" spans="1:6" x14ac:dyDescent="0.2">
      <c r="A2110" s="205">
        <v>0.73121527777777784</v>
      </c>
      <c r="B2110" s="1" t="s">
        <v>1212</v>
      </c>
      <c r="C2110" s="1">
        <v>83</v>
      </c>
      <c r="D2110" s="1" t="s">
        <v>30</v>
      </c>
      <c r="E2110" s="1">
        <v>190</v>
      </c>
      <c r="F2110" s="1">
        <v>465</v>
      </c>
    </row>
    <row r="2111" spans="1:6" x14ac:dyDescent="0.2">
      <c r="A2111" s="205">
        <v>0.7318634259259259</v>
      </c>
      <c r="B2111" s="1" t="s">
        <v>1204</v>
      </c>
      <c r="C2111" s="1">
        <v>83</v>
      </c>
      <c r="D2111" s="1" t="s">
        <v>34</v>
      </c>
      <c r="E2111" s="1">
        <v>80</v>
      </c>
      <c r="F2111" s="1">
        <v>260</v>
      </c>
    </row>
    <row r="2112" spans="1:6" x14ac:dyDescent="0.2">
      <c r="A2112" s="205">
        <v>0.73240740740740751</v>
      </c>
      <c r="B2112" s="1" t="s">
        <v>1202</v>
      </c>
      <c r="C2112" s="1">
        <v>74</v>
      </c>
      <c r="D2112" s="1" t="s">
        <v>34</v>
      </c>
      <c r="E2112" s="1">
        <v>110</v>
      </c>
      <c r="F2112" s="1">
        <v>270</v>
      </c>
    </row>
    <row r="2113" spans="1:6" x14ac:dyDescent="0.2">
      <c r="A2113" s="205">
        <v>0.73288194444444443</v>
      </c>
      <c r="B2113" s="1" t="s">
        <v>1203</v>
      </c>
      <c r="C2113" s="1">
        <v>74</v>
      </c>
      <c r="D2113" s="1" t="s">
        <v>34</v>
      </c>
      <c r="E2113" s="1">
        <v>130</v>
      </c>
      <c r="F2113" s="1">
        <v>330</v>
      </c>
    </row>
    <row r="2114" spans="1:6" x14ac:dyDescent="0.2">
      <c r="A2114" s="205">
        <v>0.73336805555555562</v>
      </c>
      <c r="B2114" s="1" t="s">
        <v>1222</v>
      </c>
      <c r="C2114" s="1">
        <v>83</v>
      </c>
      <c r="D2114" s="1" t="s">
        <v>34</v>
      </c>
      <c r="E2114" s="1">
        <v>160</v>
      </c>
      <c r="F2114" s="1">
        <v>410</v>
      </c>
    </row>
    <row r="2115" spans="1:6" x14ac:dyDescent="0.2">
      <c r="A2115" s="205">
        <v>0.73396990740740742</v>
      </c>
      <c r="B2115" s="1" t="s">
        <v>1206</v>
      </c>
      <c r="C2115" s="1">
        <v>83</v>
      </c>
      <c r="D2115" s="1" t="s">
        <v>34</v>
      </c>
      <c r="E2115" s="1">
        <v>165</v>
      </c>
      <c r="F2115" s="1">
        <v>450</v>
      </c>
    </row>
    <row r="2116" spans="1:6" x14ac:dyDescent="0.2">
      <c r="A2116" s="205">
        <v>0.73464120370370367</v>
      </c>
      <c r="B2116" s="1" t="s">
        <v>1220</v>
      </c>
      <c r="C2116" s="1">
        <v>74</v>
      </c>
      <c r="D2116" s="1" t="s">
        <v>34</v>
      </c>
      <c r="E2116" s="1">
        <v>170</v>
      </c>
      <c r="F2116" s="1">
        <v>427.5</v>
      </c>
    </row>
    <row r="2117" spans="1:6" x14ac:dyDescent="0.2">
      <c r="A2117" s="205">
        <v>0.73524305555555547</v>
      </c>
      <c r="B2117" s="1" t="s">
        <v>1207</v>
      </c>
      <c r="C2117" s="1">
        <v>83</v>
      </c>
      <c r="D2117" s="1" t="s">
        <v>34</v>
      </c>
      <c r="E2117" s="1">
        <v>175</v>
      </c>
      <c r="F2117" s="1">
        <v>417.5</v>
      </c>
    </row>
    <row r="2118" spans="1:6" x14ac:dyDescent="0.2">
      <c r="A2118" s="205">
        <v>0.7356597222222222</v>
      </c>
      <c r="B2118" s="1" t="s">
        <v>1211</v>
      </c>
      <c r="C2118" s="1">
        <v>83</v>
      </c>
      <c r="D2118" s="1" t="s">
        <v>34</v>
      </c>
      <c r="E2118" s="1">
        <v>180</v>
      </c>
      <c r="F2118" s="1">
        <v>522.5</v>
      </c>
    </row>
    <row r="2119" spans="1:6" x14ac:dyDescent="0.2">
      <c r="A2119" s="205">
        <v>0.73622685185185188</v>
      </c>
      <c r="B2119" s="1" t="s">
        <v>1200</v>
      </c>
      <c r="C2119" s="1">
        <v>74</v>
      </c>
      <c r="D2119" s="1" t="s">
        <v>34</v>
      </c>
      <c r="E2119" s="1">
        <v>190</v>
      </c>
      <c r="F2119" s="1">
        <v>510</v>
      </c>
    </row>
    <row r="2120" spans="1:6" x14ac:dyDescent="0.2">
      <c r="A2120" s="205">
        <v>0.7367824074074073</v>
      </c>
      <c r="B2120" s="1" t="s">
        <v>1205</v>
      </c>
      <c r="C2120" s="1">
        <v>83</v>
      </c>
      <c r="D2120" s="1" t="s">
        <v>34</v>
      </c>
      <c r="E2120" s="1">
        <v>200</v>
      </c>
      <c r="F2120" s="1">
        <v>505</v>
      </c>
    </row>
    <row r="2121" spans="1:6" x14ac:dyDescent="0.2">
      <c r="A2121" s="205">
        <v>0.7371875</v>
      </c>
      <c r="B2121" s="1" t="s">
        <v>1208</v>
      </c>
      <c r="C2121" s="1">
        <v>83</v>
      </c>
      <c r="D2121" s="1" t="s">
        <v>34</v>
      </c>
      <c r="E2121" s="1">
        <v>205</v>
      </c>
      <c r="F2121" s="1">
        <v>535</v>
      </c>
    </row>
    <row r="2122" spans="1:6" x14ac:dyDescent="0.2">
      <c r="A2122" s="205">
        <v>0.73759259259259258</v>
      </c>
      <c r="B2122" s="1" t="s">
        <v>1209</v>
      </c>
      <c r="C2122" s="1">
        <v>83</v>
      </c>
      <c r="D2122" s="1" t="s">
        <v>34</v>
      </c>
      <c r="E2122" s="1">
        <v>205</v>
      </c>
      <c r="F2122" s="1">
        <v>530</v>
      </c>
    </row>
    <row r="2123" spans="1:6" x14ac:dyDescent="0.2">
      <c r="A2123" s="205">
        <v>0.73812500000000003</v>
      </c>
      <c r="B2123" s="1" t="s">
        <v>1210</v>
      </c>
      <c r="C2123" s="1">
        <v>83</v>
      </c>
      <c r="D2123" s="1" t="s">
        <v>34</v>
      </c>
      <c r="E2123" s="1">
        <v>205</v>
      </c>
      <c r="F2123" s="1">
        <v>492.5</v>
      </c>
    </row>
    <row r="2124" spans="1:6" x14ac:dyDescent="0.2">
      <c r="A2124" s="205">
        <v>0.73879629629629628</v>
      </c>
      <c r="B2124" s="1" t="s">
        <v>1212</v>
      </c>
      <c r="C2124" s="1">
        <v>83</v>
      </c>
      <c r="D2124" s="1" t="s">
        <v>34</v>
      </c>
      <c r="E2124" s="1">
        <v>-215</v>
      </c>
      <c r="F2124" s="1">
        <v>465</v>
      </c>
    </row>
    <row r="2125" spans="1:6" x14ac:dyDescent="0.2">
      <c r="A2125" s="205">
        <v>0.73957175925925922</v>
      </c>
      <c r="B2125" s="1" t="s">
        <v>1204</v>
      </c>
      <c r="C2125" s="1">
        <v>83</v>
      </c>
      <c r="D2125" s="1" t="s">
        <v>38</v>
      </c>
      <c r="E2125" s="1">
        <v>-85</v>
      </c>
      <c r="F2125" s="1">
        <v>260</v>
      </c>
    </row>
    <row r="2126" spans="1:6" x14ac:dyDescent="0.2">
      <c r="A2126" s="205">
        <v>0.74024305555555558</v>
      </c>
      <c r="B2126" s="1" t="s">
        <v>1202</v>
      </c>
      <c r="C2126" s="1">
        <v>74</v>
      </c>
      <c r="D2126" s="1" t="s">
        <v>38</v>
      </c>
      <c r="E2126" s="1">
        <v>-120</v>
      </c>
      <c r="F2126" s="1">
        <v>270</v>
      </c>
    </row>
    <row r="2127" spans="1:6" x14ac:dyDescent="0.2">
      <c r="A2127" s="205">
        <v>0.74075231481481474</v>
      </c>
      <c r="B2127" s="1" t="s">
        <v>1203</v>
      </c>
      <c r="C2127" s="1">
        <v>74</v>
      </c>
      <c r="D2127" s="1" t="s">
        <v>38</v>
      </c>
      <c r="E2127" s="1">
        <v>145</v>
      </c>
      <c r="F2127" s="1">
        <v>345</v>
      </c>
    </row>
    <row r="2128" spans="1:6" x14ac:dyDescent="0.2">
      <c r="A2128" s="205">
        <v>0.74131944444444453</v>
      </c>
      <c r="B2128" s="1" t="s">
        <v>1222</v>
      </c>
      <c r="C2128" s="1">
        <v>83</v>
      </c>
      <c r="D2128" s="1" t="s">
        <v>38</v>
      </c>
      <c r="E2128" s="1">
        <v>-170</v>
      </c>
      <c r="F2128" s="1">
        <v>410</v>
      </c>
    </row>
    <row r="2129" spans="1:6" x14ac:dyDescent="0.2">
      <c r="A2129" s="205">
        <v>0.74201388888888886</v>
      </c>
      <c r="B2129" s="1" t="s">
        <v>1206</v>
      </c>
      <c r="C2129" s="1">
        <v>83</v>
      </c>
      <c r="D2129" s="1" t="s">
        <v>38</v>
      </c>
      <c r="E2129" s="1">
        <v>180</v>
      </c>
      <c r="F2129" s="1">
        <v>465</v>
      </c>
    </row>
    <row r="2130" spans="1:6" x14ac:dyDescent="0.2">
      <c r="A2130" s="205">
        <v>0.74254629629629632</v>
      </c>
      <c r="B2130" s="1" t="s">
        <v>1207</v>
      </c>
      <c r="C2130" s="1">
        <v>83</v>
      </c>
      <c r="D2130" s="1" t="s">
        <v>38</v>
      </c>
      <c r="E2130" s="1">
        <v>182.5</v>
      </c>
      <c r="F2130" s="1">
        <v>425</v>
      </c>
    </row>
    <row r="2131" spans="1:6" x14ac:dyDescent="0.2">
      <c r="A2131" s="205">
        <v>0.74302083333333335</v>
      </c>
      <c r="B2131" s="1" t="s">
        <v>1211</v>
      </c>
      <c r="C2131" s="1">
        <v>83</v>
      </c>
      <c r="D2131" s="1" t="s">
        <v>38</v>
      </c>
      <c r="E2131" s="1">
        <v>190</v>
      </c>
      <c r="F2131" s="1">
        <v>532.5</v>
      </c>
    </row>
    <row r="2132" spans="1:6" x14ac:dyDescent="0.2">
      <c r="A2132" s="205">
        <v>0.74372685185185183</v>
      </c>
      <c r="B2132" s="1" t="s">
        <v>1200</v>
      </c>
      <c r="C2132" s="1">
        <v>74</v>
      </c>
      <c r="D2132" s="1" t="s">
        <v>38</v>
      </c>
      <c r="E2132" s="1">
        <v>200</v>
      </c>
      <c r="F2132" s="1">
        <v>520</v>
      </c>
    </row>
    <row r="2133" spans="1:6" x14ac:dyDescent="0.2">
      <c r="A2133" s="205">
        <v>0.74435185185185182</v>
      </c>
      <c r="B2133" s="1" t="s">
        <v>1205</v>
      </c>
      <c r="C2133" s="1">
        <v>83</v>
      </c>
      <c r="D2133" s="1" t="s">
        <v>38</v>
      </c>
      <c r="E2133" s="1">
        <v>207.5</v>
      </c>
      <c r="F2133" s="1">
        <v>512.5</v>
      </c>
    </row>
    <row r="2134" spans="1:6" x14ac:dyDescent="0.2">
      <c r="A2134" s="205">
        <v>0.74488425925925927</v>
      </c>
      <c r="B2134" s="1" t="s">
        <v>1210</v>
      </c>
      <c r="C2134" s="1">
        <v>83</v>
      </c>
      <c r="D2134" s="1" t="s">
        <v>38</v>
      </c>
      <c r="E2134" s="1">
        <v>212.5</v>
      </c>
      <c r="F2134" s="1">
        <v>500</v>
      </c>
    </row>
    <row r="2135" spans="1:6" x14ac:dyDescent="0.2">
      <c r="A2135" s="205">
        <v>0.7453819444444445</v>
      </c>
      <c r="B2135" s="1" t="s">
        <v>1208</v>
      </c>
      <c r="C2135" s="1">
        <v>83</v>
      </c>
      <c r="D2135" s="1" t="s">
        <v>38</v>
      </c>
      <c r="E2135" s="1">
        <v>215</v>
      </c>
      <c r="F2135" s="1">
        <v>545</v>
      </c>
    </row>
    <row r="2136" spans="1:6" x14ac:dyDescent="0.2">
      <c r="A2136" s="205">
        <v>0.74581018518518516</v>
      </c>
      <c r="B2136" s="1" t="s">
        <v>1212</v>
      </c>
      <c r="C2136" s="1">
        <v>83</v>
      </c>
      <c r="D2136" s="1" t="s">
        <v>38</v>
      </c>
      <c r="E2136" s="1">
        <v>-215</v>
      </c>
      <c r="F2136" s="1">
        <v>465</v>
      </c>
    </row>
    <row r="2137" spans="1:6" x14ac:dyDescent="0.2">
      <c r="A2137" s="205">
        <v>0.74624999999999997</v>
      </c>
      <c r="B2137" s="1" t="s">
        <v>1209</v>
      </c>
      <c r="C2137" s="1">
        <v>83</v>
      </c>
      <c r="D2137" s="1" t="s">
        <v>38</v>
      </c>
      <c r="E2137" s="1">
        <v>-220</v>
      </c>
      <c r="F2137" s="1">
        <v>530</v>
      </c>
    </row>
    <row r="2138" spans="1:6" x14ac:dyDescent="0.2">
      <c r="A2138" s="205">
        <v>0.7486342592592593</v>
      </c>
      <c r="B2138" s="1" t="s">
        <v>1223</v>
      </c>
      <c r="C2138" s="1">
        <v>93</v>
      </c>
      <c r="D2138" s="1" t="s">
        <v>30</v>
      </c>
      <c r="E2138" s="1">
        <v>150</v>
      </c>
      <c r="F2138" s="1">
        <v>470</v>
      </c>
    </row>
    <row r="2139" spans="1:6" x14ac:dyDescent="0.2">
      <c r="A2139" s="205">
        <v>0.74942129629629628</v>
      </c>
      <c r="B2139" s="1" t="s">
        <v>1217</v>
      </c>
      <c r="C2139" s="1">
        <v>93</v>
      </c>
      <c r="D2139" s="1" t="s">
        <v>30</v>
      </c>
      <c r="E2139" s="1">
        <v>160</v>
      </c>
      <c r="F2139" s="1">
        <v>410</v>
      </c>
    </row>
    <row r="2140" spans="1:6" x14ac:dyDescent="0.2">
      <c r="A2140" s="205">
        <v>0.75016203703703699</v>
      </c>
      <c r="B2140" s="1" t="s">
        <v>1043</v>
      </c>
      <c r="C2140" s="1">
        <v>93</v>
      </c>
      <c r="D2140" s="1" t="s">
        <v>30</v>
      </c>
      <c r="E2140" s="1">
        <v>170</v>
      </c>
      <c r="F2140" s="1">
        <v>420</v>
      </c>
    </row>
    <row r="2141" spans="1:6" x14ac:dyDescent="0.2">
      <c r="A2141" s="205">
        <v>0.75104166666666661</v>
      </c>
      <c r="B2141" s="1" t="s">
        <v>1215</v>
      </c>
      <c r="C2141" s="1">
        <v>93</v>
      </c>
      <c r="D2141" s="1" t="s">
        <v>30</v>
      </c>
      <c r="E2141" s="1">
        <v>180</v>
      </c>
      <c r="F2141" s="1">
        <v>467.5</v>
      </c>
    </row>
    <row r="2142" spans="1:6" x14ac:dyDescent="0.2">
      <c r="A2142" s="205">
        <v>0.75159722222222225</v>
      </c>
      <c r="B2142" s="1" t="s">
        <v>1214</v>
      </c>
      <c r="C2142" s="1">
        <v>93</v>
      </c>
      <c r="D2142" s="1" t="s">
        <v>30</v>
      </c>
      <c r="E2142" s="1">
        <v>190</v>
      </c>
      <c r="F2142" s="1">
        <v>507.5</v>
      </c>
    </row>
    <row r="2143" spans="1:6" x14ac:dyDescent="0.2">
      <c r="A2143" s="205">
        <v>0.75211805555555555</v>
      </c>
      <c r="B2143" s="1" t="s">
        <v>1221</v>
      </c>
      <c r="C2143" s="1">
        <v>83</v>
      </c>
      <c r="D2143" s="1" t="s">
        <v>30</v>
      </c>
      <c r="E2143" s="1">
        <v>200</v>
      </c>
      <c r="F2143" s="1">
        <v>500</v>
      </c>
    </row>
    <row r="2144" spans="1:6" x14ac:dyDescent="0.2">
      <c r="A2144" s="205">
        <v>0.7525115740740741</v>
      </c>
      <c r="B2144" s="1" t="s">
        <v>1053</v>
      </c>
      <c r="C2144" s="1">
        <v>105</v>
      </c>
      <c r="D2144" s="1" t="s">
        <v>30</v>
      </c>
      <c r="E2144" s="1">
        <v>200</v>
      </c>
      <c r="F2144" s="1">
        <v>570</v>
      </c>
    </row>
    <row r="2145" spans="1:6" x14ac:dyDescent="0.2">
      <c r="A2145" s="205">
        <v>0.75322916666666673</v>
      </c>
      <c r="B2145" s="1" t="s">
        <v>1051</v>
      </c>
      <c r="C2145" s="1">
        <v>93</v>
      </c>
      <c r="D2145" s="1" t="s">
        <v>30</v>
      </c>
      <c r="E2145" s="1">
        <v>210</v>
      </c>
      <c r="F2145" s="1">
        <v>660</v>
      </c>
    </row>
    <row r="2146" spans="1:6" x14ac:dyDescent="0.2">
      <c r="A2146" s="205">
        <v>0.7537152777777778</v>
      </c>
      <c r="B2146" s="1" t="s">
        <v>1216</v>
      </c>
      <c r="C2146" s="1">
        <v>93</v>
      </c>
      <c r="D2146" s="1" t="s">
        <v>30</v>
      </c>
      <c r="E2146" s="1">
        <v>-210</v>
      </c>
    </row>
    <row r="2147" spans="1:6" x14ac:dyDescent="0.2">
      <c r="A2147" s="205">
        <v>0.75442129629629628</v>
      </c>
      <c r="B2147" s="1" t="s">
        <v>1219</v>
      </c>
      <c r="C2147" s="1">
        <v>105</v>
      </c>
      <c r="D2147" s="1" t="s">
        <v>30</v>
      </c>
      <c r="E2147" s="1">
        <v>220</v>
      </c>
      <c r="F2147" s="1">
        <v>630</v>
      </c>
    </row>
    <row r="2148" spans="1:6" x14ac:dyDescent="0.2">
      <c r="A2148" s="205">
        <v>0.75531250000000005</v>
      </c>
      <c r="B2148" s="1" t="s">
        <v>1218</v>
      </c>
      <c r="C2148" s="1">
        <v>105</v>
      </c>
      <c r="D2148" s="1" t="s">
        <v>30</v>
      </c>
      <c r="E2148" s="1">
        <v>255</v>
      </c>
      <c r="F2148" s="1">
        <v>695</v>
      </c>
    </row>
    <row r="2149" spans="1:6" x14ac:dyDescent="0.2">
      <c r="A2149" s="205">
        <v>0.75591435185185185</v>
      </c>
      <c r="B2149" s="1" t="s">
        <v>1213</v>
      </c>
      <c r="C2149" s="1">
        <v>93</v>
      </c>
      <c r="D2149" s="1" t="s">
        <v>30</v>
      </c>
      <c r="E2149" s="1">
        <v>260</v>
      </c>
      <c r="F2149" s="1">
        <v>670</v>
      </c>
    </row>
    <row r="2150" spans="1:6" x14ac:dyDescent="0.2">
      <c r="A2150" s="205">
        <v>0.75679398148148147</v>
      </c>
      <c r="B2150" s="1" t="s">
        <v>1223</v>
      </c>
      <c r="C2150" s="1">
        <v>93</v>
      </c>
      <c r="D2150" s="1" t="s">
        <v>34</v>
      </c>
      <c r="E2150" s="1">
        <v>-160</v>
      </c>
      <c r="F2150" s="1">
        <v>470</v>
      </c>
    </row>
    <row r="2151" spans="1:6" x14ac:dyDescent="0.2">
      <c r="A2151" s="205">
        <v>0.75753472222222218</v>
      </c>
      <c r="B2151" s="1" t="s">
        <v>1217</v>
      </c>
      <c r="C2151" s="1">
        <v>93</v>
      </c>
      <c r="D2151" s="1" t="s">
        <v>34</v>
      </c>
      <c r="E2151" s="1">
        <v>170</v>
      </c>
      <c r="F2151" s="1">
        <v>420</v>
      </c>
    </row>
    <row r="2152" spans="1:6" x14ac:dyDescent="0.2">
      <c r="A2152" s="205">
        <v>0.75832175925925915</v>
      </c>
      <c r="B2152" s="1" t="s">
        <v>1043</v>
      </c>
      <c r="C2152" s="1">
        <v>93</v>
      </c>
      <c r="D2152" s="1" t="s">
        <v>34</v>
      </c>
      <c r="E2152" s="1">
        <v>175</v>
      </c>
      <c r="F2152" s="1">
        <v>425</v>
      </c>
    </row>
    <row r="2153" spans="1:6" x14ac:dyDescent="0.2">
      <c r="A2153" s="205">
        <v>0.75900462962962967</v>
      </c>
      <c r="B2153" s="1" t="s">
        <v>1215</v>
      </c>
      <c r="C2153" s="1">
        <v>93</v>
      </c>
      <c r="D2153" s="1" t="s">
        <v>34</v>
      </c>
      <c r="E2153" s="1">
        <v>195</v>
      </c>
      <c r="F2153" s="1">
        <v>482.5</v>
      </c>
    </row>
    <row r="2154" spans="1:6" x14ac:dyDescent="0.2">
      <c r="A2154" s="205">
        <v>0.7596180555555555</v>
      </c>
      <c r="B2154" s="1" t="s">
        <v>1214</v>
      </c>
      <c r="C2154" s="1">
        <v>93</v>
      </c>
      <c r="D2154" s="1" t="s">
        <v>34</v>
      </c>
      <c r="E2154" s="1">
        <v>205</v>
      </c>
      <c r="F2154" s="1">
        <v>522.5</v>
      </c>
    </row>
    <row r="2155" spans="1:6" x14ac:dyDescent="0.2">
      <c r="A2155" s="205">
        <v>0.76016203703703711</v>
      </c>
      <c r="B2155" s="1" t="s">
        <v>1053</v>
      </c>
      <c r="C2155" s="1">
        <v>105</v>
      </c>
      <c r="D2155" s="1" t="s">
        <v>34</v>
      </c>
      <c r="E2155" s="1">
        <v>210</v>
      </c>
      <c r="F2155" s="1">
        <v>580</v>
      </c>
    </row>
    <row r="2156" spans="1:6" x14ac:dyDescent="0.2">
      <c r="A2156" s="205">
        <v>0.76089120370370367</v>
      </c>
      <c r="B2156" s="1" t="s">
        <v>1221</v>
      </c>
      <c r="C2156" s="1">
        <v>83</v>
      </c>
      <c r="D2156" s="1" t="s">
        <v>34</v>
      </c>
      <c r="E2156" s="1">
        <v>220</v>
      </c>
      <c r="F2156" s="1">
        <v>520</v>
      </c>
    </row>
    <row r="2157" spans="1:6" x14ac:dyDescent="0.2">
      <c r="A2157" s="205">
        <v>0.7618287037037037</v>
      </c>
      <c r="B2157" s="1" t="s">
        <v>1216</v>
      </c>
      <c r="C2157" s="1">
        <v>93</v>
      </c>
      <c r="D2157" s="1" t="s">
        <v>34</v>
      </c>
      <c r="E2157" s="1">
        <v>220</v>
      </c>
      <c r="F2157" s="1">
        <v>552.5</v>
      </c>
    </row>
    <row r="2158" spans="1:6" x14ac:dyDescent="0.2">
      <c r="A2158" s="205">
        <v>0.76234953703703701</v>
      </c>
      <c r="B2158" s="1" t="s">
        <v>1051</v>
      </c>
      <c r="C2158" s="1">
        <v>93</v>
      </c>
      <c r="D2158" s="1" t="s">
        <v>34</v>
      </c>
      <c r="E2158" s="1">
        <v>-225</v>
      </c>
      <c r="F2158" s="1">
        <v>660</v>
      </c>
    </row>
    <row r="2159" spans="1:6" x14ac:dyDescent="0.2">
      <c r="A2159" s="205">
        <v>0.76348379629629637</v>
      </c>
      <c r="B2159" s="1" t="s">
        <v>1218</v>
      </c>
      <c r="C2159" s="1">
        <v>105</v>
      </c>
      <c r="D2159" s="1" t="s">
        <v>34</v>
      </c>
      <c r="E2159" s="1">
        <v>265</v>
      </c>
      <c r="F2159" s="1">
        <v>705</v>
      </c>
    </row>
    <row r="2160" spans="1:6" x14ac:dyDescent="0.2">
      <c r="A2160" s="205">
        <v>0.76424768518518515</v>
      </c>
      <c r="B2160" s="1" t="s">
        <v>1219</v>
      </c>
      <c r="C2160" s="1">
        <v>105</v>
      </c>
      <c r="D2160" s="1" t="s">
        <v>34</v>
      </c>
      <c r="E2160" s="1">
        <v>-265</v>
      </c>
      <c r="F2160" s="1">
        <v>630</v>
      </c>
    </row>
    <row r="2161" spans="1:6" x14ac:dyDescent="0.2">
      <c r="A2161" s="205">
        <v>0.76497685185185194</v>
      </c>
      <c r="B2161" s="1" t="s">
        <v>1213</v>
      </c>
      <c r="C2161" s="1">
        <v>93</v>
      </c>
      <c r="D2161" s="1" t="s">
        <v>34</v>
      </c>
      <c r="E2161" s="1">
        <v>270</v>
      </c>
      <c r="F2161" s="1">
        <v>680</v>
      </c>
    </row>
    <row r="2162" spans="1:6" x14ac:dyDescent="0.2">
      <c r="A2162" s="205">
        <v>0.76596064814814813</v>
      </c>
      <c r="B2162" s="1" t="s">
        <v>1043</v>
      </c>
      <c r="C2162" s="1">
        <v>93</v>
      </c>
      <c r="D2162" s="1" t="s">
        <v>38</v>
      </c>
      <c r="E2162" s="1">
        <v>180</v>
      </c>
      <c r="F2162" s="1">
        <v>430</v>
      </c>
    </row>
    <row r="2163" spans="1:6" x14ac:dyDescent="0.2">
      <c r="A2163" s="205">
        <v>0.76646990740740739</v>
      </c>
      <c r="B2163" s="1" t="s">
        <v>1217</v>
      </c>
      <c r="C2163" s="1">
        <v>93</v>
      </c>
      <c r="D2163" s="1" t="s">
        <v>38</v>
      </c>
      <c r="E2163" s="1">
        <v>-180</v>
      </c>
      <c r="F2163" s="1">
        <v>420</v>
      </c>
    </row>
    <row r="2164" spans="1:6" x14ac:dyDescent="0.2">
      <c r="A2164" s="205">
        <v>0.76739583333333339</v>
      </c>
      <c r="B2164" s="1" t="s">
        <v>1215</v>
      </c>
      <c r="C2164" s="1">
        <v>93</v>
      </c>
      <c r="D2164" s="1" t="s">
        <v>38</v>
      </c>
      <c r="E2164" s="1">
        <v>205</v>
      </c>
      <c r="F2164" s="1">
        <v>492.5</v>
      </c>
    </row>
    <row r="2165" spans="1:6" x14ac:dyDescent="0.2">
      <c r="A2165" s="205">
        <v>0.76800925925925922</v>
      </c>
      <c r="B2165" s="1" t="s">
        <v>1214</v>
      </c>
      <c r="C2165" s="1">
        <v>93</v>
      </c>
      <c r="D2165" s="1" t="s">
        <v>38</v>
      </c>
      <c r="E2165" s="1">
        <v>207.5</v>
      </c>
      <c r="F2165" s="1">
        <v>525</v>
      </c>
    </row>
    <row r="2166" spans="1:6" x14ac:dyDescent="0.2">
      <c r="A2166" s="205">
        <v>0.76874999999999993</v>
      </c>
      <c r="B2166" s="1" t="s">
        <v>1053</v>
      </c>
      <c r="C2166" s="1">
        <v>105</v>
      </c>
      <c r="D2166" s="1" t="s">
        <v>38</v>
      </c>
      <c r="E2166" s="1">
        <v>-215</v>
      </c>
      <c r="F2166" s="1">
        <v>580</v>
      </c>
    </row>
    <row r="2167" spans="1:6" x14ac:dyDescent="0.2">
      <c r="A2167" s="205">
        <v>0.76946759259259256</v>
      </c>
      <c r="B2167" s="1" t="s">
        <v>1221</v>
      </c>
      <c r="C2167" s="1">
        <v>83</v>
      </c>
      <c r="D2167" s="1" t="s">
        <v>38</v>
      </c>
      <c r="E2167" s="1">
        <v>230</v>
      </c>
      <c r="F2167" s="1">
        <v>530</v>
      </c>
    </row>
    <row r="2168" spans="1:6" x14ac:dyDescent="0.2">
      <c r="A2168" s="205">
        <v>0.77012731481481478</v>
      </c>
      <c r="B2168" s="1" t="s">
        <v>1051</v>
      </c>
      <c r="C2168" s="1">
        <v>93</v>
      </c>
      <c r="D2168" s="1" t="s">
        <v>38</v>
      </c>
      <c r="E2168" s="1">
        <v>-232.5</v>
      </c>
      <c r="F2168" s="1">
        <v>660</v>
      </c>
    </row>
    <row r="2169" spans="1:6" x14ac:dyDescent="0.2">
      <c r="A2169" s="205">
        <v>0.77093750000000005</v>
      </c>
      <c r="B2169" s="1" t="s">
        <v>1219</v>
      </c>
      <c r="C2169" s="1">
        <v>105</v>
      </c>
      <c r="D2169" s="1" t="s">
        <v>38</v>
      </c>
      <c r="E2169" s="1">
        <v>-265</v>
      </c>
      <c r="F2169" s="1">
        <v>630</v>
      </c>
    </row>
    <row r="2170" spans="1:6" x14ac:dyDescent="0.2">
      <c r="A2170" s="205">
        <v>0.77167824074074076</v>
      </c>
      <c r="B2170" s="1" t="s">
        <v>1218</v>
      </c>
      <c r="C2170" s="1">
        <v>105</v>
      </c>
      <c r="D2170" s="1" t="s">
        <v>38</v>
      </c>
      <c r="E2170" s="1">
        <v>270</v>
      </c>
      <c r="F2170" s="1">
        <v>710</v>
      </c>
    </row>
    <row r="2171" spans="1:6" x14ac:dyDescent="0.2">
      <c r="A2171" s="205">
        <v>0.77230324074074075</v>
      </c>
      <c r="B2171" s="1" t="s">
        <v>1213</v>
      </c>
      <c r="C2171" s="1">
        <v>93</v>
      </c>
      <c r="D2171" s="1" t="s">
        <v>38</v>
      </c>
      <c r="E2171" s="1">
        <v>-290</v>
      </c>
      <c r="F2171" s="1">
        <v>680</v>
      </c>
    </row>
    <row r="2172" spans="1:6" x14ac:dyDescent="0.2">
      <c r="A2172" s="205">
        <v>0.80343749999999992</v>
      </c>
      <c r="B2172" s="1" t="s">
        <v>1226</v>
      </c>
      <c r="C2172" s="1">
        <v>66</v>
      </c>
      <c r="D2172" s="1" t="s">
        <v>27</v>
      </c>
      <c r="E2172" s="1">
        <v>100</v>
      </c>
    </row>
    <row r="2173" spans="1:6" x14ac:dyDescent="0.2">
      <c r="A2173" s="205">
        <v>0.80346064814814822</v>
      </c>
      <c r="B2173" s="1" t="s">
        <v>1227</v>
      </c>
      <c r="C2173" s="1">
        <v>66</v>
      </c>
      <c r="D2173" s="1" t="s">
        <v>27</v>
      </c>
      <c r="E2173" s="1">
        <v>110</v>
      </c>
    </row>
    <row r="2174" spans="1:6" x14ac:dyDescent="0.2">
      <c r="A2174" s="205">
        <v>0.80348379629629629</v>
      </c>
      <c r="B2174" s="1" t="s">
        <v>1228</v>
      </c>
      <c r="C2174" s="1">
        <v>74</v>
      </c>
      <c r="D2174" s="1" t="s">
        <v>27</v>
      </c>
      <c r="E2174" s="1">
        <v>120</v>
      </c>
    </row>
    <row r="2175" spans="1:6" x14ac:dyDescent="0.2">
      <c r="A2175" s="205">
        <v>0.80351851851851841</v>
      </c>
      <c r="B2175" s="1" t="s">
        <v>1229</v>
      </c>
      <c r="C2175" s="1">
        <v>74</v>
      </c>
      <c r="D2175" s="1" t="s">
        <v>27</v>
      </c>
      <c r="E2175" s="1">
        <v>130</v>
      </c>
    </row>
    <row r="2176" spans="1:6" x14ac:dyDescent="0.2">
      <c r="A2176" s="205">
        <v>0.81269675925925933</v>
      </c>
      <c r="B2176" s="1" t="s">
        <v>1230</v>
      </c>
      <c r="C2176" s="1">
        <v>59</v>
      </c>
      <c r="D2176" s="1" t="s">
        <v>27</v>
      </c>
      <c r="E2176" s="1">
        <v>125</v>
      </c>
    </row>
    <row r="2177" spans="1:5" x14ac:dyDescent="0.2">
      <c r="A2177" s="205">
        <v>0.8127199074074074</v>
      </c>
      <c r="B2177" s="1" t="s">
        <v>1231</v>
      </c>
      <c r="C2177" s="1">
        <v>59</v>
      </c>
      <c r="D2177" s="1" t="s">
        <v>27</v>
      </c>
      <c r="E2177" s="1">
        <v>127.5</v>
      </c>
    </row>
  </sheetData>
  <phoneticPr fontId="72"/>
  <conditionalFormatting sqref="E1:E1048576">
    <cfRule type="expression" dxfId="6" priority="1">
      <formula>AND(E1&lt;0)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AL151"/>
  <sheetViews>
    <sheetView workbookViewId="0"/>
  </sheetViews>
  <sheetFormatPr defaultColWidth="9.140625" defaultRowHeight="15" x14ac:dyDescent="0.25"/>
  <cols>
    <col min="1" max="1" width="8" style="214" customWidth="1"/>
    <col min="2" max="50" width="7" style="214" customWidth="1"/>
    <col min="51" max="16384" width="9.140625" style="214"/>
  </cols>
  <sheetData>
    <row r="1" spans="1:38" x14ac:dyDescent="0.25">
      <c r="B1" s="214" t="s">
        <v>461</v>
      </c>
      <c r="C1" s="214" t="s">
        <v>460</v>
      </c>
      <c r="D1" s="214" t="s">
        <v>459</v>
      </c>
      <c r="E1" s="214" t="s">
        <v>199</v>
      </c>
      <c r="F1" s="214" t="s">
        <v>200</v>
      </c>
      <c r="G1" s="214" t="s">
        <v>201</v>
      </c>
      <c r="H1" s="214" t="s">
        <v>202</v>
      </c>
      <c r="I1" s="214" t="s">
        <v>119</v>
      </c>
      <c r="J1" s="214" t="s">
        <v>309</v>
      </c>
      <c r="K1" s="214" t="s">
        <v>310</v>
      </c>
      <c r="L1" s="214" t="s">
        <v>311</v>
      </c>
      <c r="M1" s="214" t="s">
        <v>312</v>
      </c>
      <c r="N1" s="214" t="s">
        <v>313</v>
      </c>
      <c r="O1" s="214" t="s">
        <v>314</v>
      </c>
      <c r="P1" s="214" t="s">
        <v>315</v>
      </c>
      <c r="Q1" s="214" t="s">
        <v>316</v>
      </c>
      <c r="R1" s="214" t="s">
        <v>458</v>
      </c>
      <c r="S1" s="214" t="s">
        <v>457</v>
      </c>
      <c r="T1" s="214" t="s">
        <v>456</v>
      </c>
      <c r="U1" s="214" t="s">
        <v>455</v>
      </c>
      <c r="V1" s="214" t="s">
        <v>454</v>
      </c>
      <c r="W1" s="214" t="s">
        <v>453</v>
      </c>
      <c r="X1" s="214" t="s">
        <v>452</v>
      </c>
      <c r="Y1" s="214" t="s">
        <v>451</v>
      </c>
      <c r="Z1" s="214" t="s">
        <v>450</v>
      </c>
      <c r="AA1" s="214" t="s">
        <v>449</v>
      </c>
      <c r="AB1" s="214" t="s">
        <v>448</v>
      </c>
      <c r="AC1" s="214" t="s">
        <v>447</v>
      </c>
      <c r="AD1" s="214" t="s">
        <v>446</v>
      </c>
      <c r="AE1" s="214" t="s">
        <v>445</v>
      </c>
      <c r="AF1" s="214" t="s">
        <v>444</v>
      </c>
      <c r="AG1" s="214" t="s">
        <v>443</v>
      </c>
      <c r="AH1" s="214" t="s">
        <v>442</v>
      </c>
      <c r="AI1" s="214" t="s">
        <v>441</v>
      </c>
      <c r="AJ1" s="214" t="s">
        <v>440</v>
      </c>
      <c r="AK1" s="214" t="s">
        <v>439</v>
      </c>
      <c r="AL1" s="214" t="s">
        <v>438</v>
      </c>
    </row>
    <row r="2" spans="1:38" x14ac:dyDescent="0.25">
      <c r="A2" s="214" t="s">
        <v>680</v>
      </c>
      <c r="B2" s="214">
        <v>0</v>
      </c>
      <c r="C2" s="214">
        <v>0</v>
      </c>
      <c r="D2" s="214">
        <v>0</v>
      </c>
      <c r="E2" s="214">
        <v>0</v>
      </c>
      <c r="F2" s="214">
        <v>0</v>
      </c>
      <c r="G2" s="214">
        <v>0</v>
      </c>
      <c r="H2" s="214">
        <v>0</v>
      </c>
      <c r="I2" s="214">
        <v>0</v>
      </c>
      <c r="J2" s="214">
        <v>0</v>
      </c>
      <c r="K2" s="214">
        <v>0</v>
      </c>
      <c r="L2" s="214">
        <v>0</v>
      </c>
      <c r="M2" s="214">
        <v>0</v>
      </c>
      <c r="N2" s="214">
        <v>0</v>
      </c>
      <c r="O2" s="214">
        <v>0</v>
      </c>
      <c r="P2" s="214">
        <v>0</v>
      </c>
      <c r="Q2" s="214">
        <v>0</v>
      </c>
      <c r="R2" s="214">
        <v>0</v>
      </c>
      <c r="S2" s="214">
        <v>0</v>
      </c>
      <c r="T2" s="214">
        <v>0</v>
      </c>
      <c r="U2" s="214">
        <v>0</v>
      </c>
      <c r="V2" s="214">
        <v>0</v>
      </c>
      <c r="W2" s="214">
        <v>0</v>
      </c>
      <c r="X2" s="214">
        <v>45</v>
      </c>
      <c r="Y2" s="214">
        <v>45</v>
      </c>
      <c r="Z2" s="214">
        <v>45</v>
      </c>
      <c r="AA2" s="214">
        <v>0</v>
      </c>
      <c r="AB2" s="214">
        <v>0</v>
      </c>
      <c r="AC2" s="214">
        <v>0</v>
      </c>
      <c r="AD2" s="214">
        <v>0</v>
      </c>
      <c r="AE2" s="214">
        <v>0</v>
      </c>
      <c r="AF2" s="214">
        <v>0</v>
      </c>
      <c r="AG2" s="214">
        <v>0</v>
      </c>
      <c r="AH2" s="214">
        <v>0</v>
      </c>
      <c r="AI2" s="214">
        <v>0</v>
      </c>
      <c r="AJ2" s="214">
        <v>0</v>
      </c>
      <c r="AK2" s="214">
        <v>0</v>
      </c>
      <c r="AL2" s="214">
        <v>0</v>
      </c>
    </row>
    <row r="3" spans="1:38" x14ac:dyDescent="0.25">
      <c r="A3" s="214" t="s">
        <v>679</v>
      </c>
      <c r="B3" s="214">
        <v>0</v>
      </c>
      <c r="C3" s="214">
        <v>0</v>
      </c>
      <c r="D3" s="214">
        <v>0</v>
      </c>
      <c r="E3" s="214">
        <v>0</v>
      </c>
      <c r="F3" s="214">
        <v>0</v>
      </c>
      <c r="G3" s="214">
        <v>0</v>
      </c>
      <c r="H3" s="214">
        <v>0</v>
      </c>
      <c r="I3" s="214">
        <v>0</v>
      </c>
      <c r="J3" s="214">
        <v>0</v>
      </c>
      <c r="K3" s="214">
        <v>0</v>
      </c>
      <c r="L3" s="214">
        <v>0</v>
      </c>
      <c r="M3" s="214">
        <v>0</v>
      </c>
      <c r="N3" s="214">
        <v>0</v>
      </c>
      <c r="O3" s="214">
        <v>0</v>
      </c>
      <c r="P3" s="214">
        <v>0</v>
      </c>
      <c r="Q3" s="214">
        <v>0</v>
      </c>
      <c r="R3" s="214">
        <v>0</v>
      </c>
      <c r="S3" s="214">
        <v>0</v>
      </c>
      <c r="T3" s="214">
        <v>0</v>
      </c>
      <c r="U3" s="214">
        <v>0</v>
      </c>
      <c r="V3" s="214">
        <v>0</v>
      </c>
      <c r="W3" s="214">
        <v>0</v>
      </c>
      <c r="X3" s="214">
        <v>26</v>
      </c>
      <c r="Y3" s="214">
        <v>26</v>
      </c>
      <c r="Z3" s="214">
        <v>26</v>
      </c>
      <c r="AA3" s="214">
        <v>0</v>
      </c>
      <c r="AB3" s="214">
        <v>0</v>
      </c>
      <c r="AC3" s="214">
        <v>0</v>
      </c>
      <c r="AD3" s="214">
        <v>0</v>
      </c>
      <c r="AE3" s="214">
        <v>0</v>
      </c>
      <c r="AF3" s="214">
        <v>0</v>
      </c>
      <c r="AG3" s="214">
        <v>0</v>
      </c>
      <c r="AH3" s="214">
        <v>0</v>
      </c>
      <c r="AI3" s="214">
        <v>0</v>
      </c>
      <c r="AJ3" s="214">
        <v>0</v>
      </c>
      <c r="AK3" s="214">
        <v>0</v>
      </c>
      <c r="AL3" s="214">
        <v>0</v>
      </c>
    </row>
    <row r="4" spans="1:38" x14ac:dyDescent="0.25">
      <c r="A4" s="214" t="s">
        <v>678</v>
      </c>
      <c r="B4" s="214">
        <v>0</v>
      </c>
      <c r="C4" s="214">
        <v>0</v>
      </c>
      <c r="D4" s="214">
        <v>0</v>
      </c>
      <c r="E4" s="214">
        <v>0</v>
      </c>
      <c r="F4" s="214">
        <v>0</v>
      </c>
      <c r="G4" s="214">
        <v>0</v>
      </c>
      <c r="H4" s="214">
        <v>0</v>
      </c>
      <c r="I4" s="214">
        <v>0</v>
      </c>
      <c r="J4" s="214">
        <v>0</v>
      </c>
      <c r="K4" s="214">
        <v>0</v>
      </c>
      <c r="L4" s="214">
        <v>0</v>
      </c>
      <c r="M4" s="214">
        <v>0</v>
      </c>
      <c r="N4" s="214">
        <v>0</v>
      </c>
      <c r="O4" s="214">
        <v>0</v>
      </c>
      <c r="P4" s="214">
        <v>0</v>
      </c>
      <c r="Q4" s="214">
        <v>0</v>
      </c>
      <c r="R4" s="214">
        <v>0</v>
      </c>
      <c r="S4" s="214">
        <v>0</v>
      </c>
      <c r="T4" s="214">
        <v>0</v>
      </c>
      <c r="U4" s="214">
        <v>0</v>
      </c>
      <c r="V4" s="214">
        <v>0</v>
      </c>
      <c r="W4" s="214">
        <v>0</v>
      </c>
      <c r="X4" s="214">
        <v>70</v>
      </c>
      <c r="Y4" s="214">
        <v>70</v>
      </c>
      <c r="Z4" s="214">
        <v>70</v>
      </c>
      <c r="AA4" s="214">
        <v>0</v>
      </c>
      <c r="AB4" s="214">
        <v>0</v>
      </c>
      <c r="AC4" s="214">
        <v>0</v>
      </c>
      <c r="AD4" s="214">
        <v>0</v>
      </c>
      <c r="AE4" s="214">
        <v>0</v>
      </c>
      <c r="AF4" s="214">
        <v>0</v>
      </c>
      <c r="AG4" s="214">
        <v>0</v>
      </c>
      <c r="AH4" s="214">
        <v>0</v>
      </c>
      <c r="AI4" s="214">
        <v>0</v>
      </c>
      <c r="AJ4" s="214">
        <v>0</v>
      </c>
      <c r="AK4" s="214">
        <v>0</v>
      </c>
      <c r="AL4" s="214">
        <v>0</v>
      </c>
    </row>
    <row r="5" spans="1:38" x14ac:dyDescent="0.25">
      <c r="A5" s="214" t="s">
        <v>677</v>
      </c>
      <c r="B5" s="214">
        <v>0</v>
      </c>
      <c r="C5" s="214">
        <v>0</v>
      </c>
      <c r="D5" s="214">
        <v>0</v>
      </c>
      <c r="E5" s="214">
        <v>0</v>
      </c>
      <c r="F5" s="214">
        <v>0</v>
      </c>
      <c r="G5" s="214">
        <v>0</v>
      </c>
      <c r="H5" s="214">
        <v>0</v>
      </c>
      <c r="I5" s="214">
        <v>0</v>
      </c>
      <c r="J5" s="214">
        <v>0</v>
      </c>
      <c r="K5" s="214">
        <v>0</v>
      </c>
      <c r="L5" s="214">
        <v>0</v>
      </c>
      <c r="M5" s="214">
        <v>0</v>
      </c>
      <c r="N5" s="214">
        <v>0</v>
      </c>
      <c r="O5" s="214">
        <v>0</v>
      </c>
      <c r="P5" s="214">
        <v>0</v>
      </c>
      <c r="Q5" s="214">
        <v>0</v>
      </c>
      <c r="R5" s="214">
        <v>0</v>
      </c>
      <c r="S5" s="214">
        <v>0</v>
      </c>
      <c r="T5" s="214">
        <v>0</v>
      </c>
      <c r="U5" s="214">
        <v>0</v>
      </c>
      <c r="V5" s="214">
        <v>0</v>
      </c>
      <c r="W5" s="214">
        <v>0</v>
      </c>
      <c r="X5" s="214">
        <v>141</v>
      </c>
      <c r="Y5" s="214">
        <v>141</v>
      </c>
      <c r="Z5" s="214">
        <v>141</v>
      </c>
      <c r="AA5" s="214">
        <v>0</v>
      </c>
      <c r="AB5" s="214">
        <v>0</v>
      </c>
      <c r="AC5" s="214">
        <v>0</v>
      </c>
      <c r="AD5" s="214">
        <v>0</v>
      </c>
      <c r="AE5" s="214">
        <v>0</v>
      </c>
      <c r="AF5" s="214">
        <v>0</v>
      </c>
      <c r="AG5" s="214">
        <v>0</v>
      </c>
      <c r="AH5" s="214">
        <v>0</v>
      </c>
      <c r="AI5" s="214">
        <v>0</v>
      </c>
      <c r="AJ5" s="214">
        <v>0</v>
      </c>
      <c r="AK5" s="214">
        <v>0</v>
      </c>
      <c r="AL5" s="214">
        <v>0</v>
      </c>
    </row>
    <row r="6" spans="1:38" x14ac:dyDescent="0.25">
      <c r="A6" s="214" t="s">
        <v>676</v>
      </c>
      <c r="B6" s="214">
        <v>0</v>
      </c>
      <c r="C6" s="214">
        <v>0</v>
      </c>
      <c r="D6" s="214">
        <v>0</v>
      </c>
      <c r="E6" s="214">
        <v>0</v>
      </c>
      <c r="F6" s="214">
        <v>0</v>
      </c>
      <c r="G6" s="214">
        <v>0</v>
      </c>
      <c r="H6" s="214">
        <v>0</v>
      </c>
      <c r="I6" s="214">
        <v>0</v>
      </c>
      <c r="J6" s="214">
        <v>0</v>
      </c>
      <c r="K6" s="214">
        <v>0</v>
      </c>
      <c r="L6" s="214">
        <v>0</v>
      </c>
      <c r="M6" s="214">
        <v>0</v>
      </c>
      <c r="N6" s="214">
        <v>0</v>
      </c>
      <c r="O6" s="214">
        <v>0</v>
      </c>
      <c r="P6" s="214">
        <v>0</v>
      </c>
      <c r="Q6" s="214">
        <v>0</v>
      </c>
      <c r="R6" s="214">
        <v>0</v>
      </c>
      <c r="S6" s="214">
        <v>0</v>
      </c>
      <c r="T6" s="214">
        <v>0</v>
      </c>
      <c r="U6" s="214">
        <v>0</v>
      </c>
      <c r="V6" s="214">
        <v>0</v>
      </c>
      <c r="W6" s="214">
        <v>0</v>
      </c>
      <c r="X6" s="214">
        <v>55</v>
      </c>
      <c r="Y6" s="214">
        <v>55</v>
      </c>
      <c r="Z6" s="214">
        <v>55</v>
      </c>
      <c r="AA6" s="214">
        <v>0</v>
      </c>
      <c r="AB6" s="214">
        <v>0</v>
      </c>
      <c r="AC6" s="214">
        <v>0</v>
      </c>
      <c r="AD6" s="214">
        <v>0</v>
      </c>
      <c r="AE6" s="214">
        <v>0</v>
      </c>
      <c r="AF6" s="214">
        <v>0</v>
      </c>
      <c r="AG6" s="214">
        <v>0</v>
      </c>
      <c r="AH6" s="214">
        <v>0</v>
      </c>
      <c r="AI6" s="214">
        <v>0</v>
      </c>
      <c r="AJ6" s="214">
        <v>0</v>
      </c>
      <c r="AK6" s="214">
        <v>0</v>
      </c>
      <c r="AL6" s="214">
        <v>0</v>
      </c>
    </row>
    <row r="7" spans="1:38" x14ac:dyDescent="0.25">
      <c r="A7" s="214" t="s">
        <v>675</v>
      </c>
      <c r="B7" s="214">
        <v>0</v>
      </c>
      <c r="C7" s="214">
        <v>0</v>
      </c>
      <c r="D7" s="214">
        <v>0</v>
      </c>
      <c r="E7" s="214">
        <v>0</v>
      </c>
      <c r="F7" s="214">
        <v>0</v>
      </c>
      <c r="G7" s="214">
        <v>0</v>
      </c>
      <c r="H7" s="214">
        <v>0</v>
      </c>
      <c r="I7" s="214">
        <v>0</v>
      </c>
      <c r="J7" s="214">
        <v>0</v>
      </c>
      <c r="K7" s="214">
        <v>0</v>
      </c>
      <c r="L7" s="214">
        <v>0</v>
      </c>
      <c r="M7" s="214">
        <v>0</v>
      </c>
      <c r="N7" s="214">
        <v>0</v>
      </c>
      <c r="O7" s="214">
        <v>0</v>
      </c>
      <c r="P7" s="214">
        <v>0</v>
      </c>
      <c r="Q7" s="214">
        <v>0</v>
      </c>
      <c r="R7" s="214">
        <v>0</v>
      </c>
      <c r="S7" s="214">
        <v>0</v>
      </c>
      <c r="T7" s="214">
        <v>0</v>
      </c>
      <c r="U7" s="214">
        <v>0</v>
      </c>
      <c r="V7" s="214">
        <v>0</v>
      </c>
      <c r="W7" s="214">
        <v>0</v>
      </c>
      <c r="X7" s="214">
        <v>30</v>
      </c>
      <c r="Y7" s="214">
        <v>30</v>
      </c>
      <c r="Z7" s="214">
        <v>30</v>
      </c>
      <c r="AA7" s="214">
        <v>0</v>
      </c>
      <c r="AB7" s="214">
        <v>0</v>
      </c>
      <c r="AC7" s="214">
        <v>0</v>
      </c>
      <c r="AD7" s="214">
        <v>0</v>
      </c>
      <c r="AE7" s="214">
        <v>0</v>
      </c>
      <c r="AF7" s="214">
        <v>0</v>
      </c>
      <c r="AG7" s="214">
        <v>0</v>
      </c>
      <c r="AH7" s="214">
        <v>0</v>
      </c>
      <c r="AI7" s="214">
        <v>0</v>
      </c>
      <c r="AJ7" s="214">
        <v>0</v>
      </c>
      <c r="AK7" s="214">
        <v>0</v>
      </c>
      <c r="AL7" s="214">
        <v>0</v>
      </c>
    </row>
    <row r="8" spans="1:38" x14ac:dyDescent="0.25">
      <c r="A8" s="214" t="s">
        <v>674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  <c r="R8" s="214">
        <v>0</v>
      </c>
      <c r="S8" s="214">
        <v>0</v>
      </c>
      <c r="T8" s="214">
        <v>0</v>
      </c>
      <c r="U8" s="214">
        <v>0</v>
      </c>
      <c r="V8" s="214">
        <v>0</v>
      </c>
      <c r="W8" s="214">
        <v>0</v>
      </c>
      <c r="X8" s="214">
        <v>75</v>
      </c>
      <c r="Y8" s="214">
        <v>75</v>
      </c>
      <c r="Z8" s="214">
        <v>75</v>
      </c>
      <c r="AA8" s="214">
        <v>0</v>
      </c>
      <c r="AB8" s="214">
        <v>0</v>
      </c>
      <c r="AC8" s="214">
        <v>0</v>
      </c>
      <c r="AD8" s="214">
        <v>0</v>
      </c>
      <c r="AE8" s="214">
        <v>0</v>
      </c>
      <c r="AF8" s="214">
        <v>0</v>
      </c>
      <c r="AG8" s="214">
        <v>0</v>
      </c>
      <c r="AH8" s="214">
        <v>0</v>
      </c>
      <c r="AI8" s="214">
        <v>0</v>
      </c>
      <c r="AJ8" s="214">
        <v>0</v>
      </c>
      <c r="AK8" s="214">
        <v>0</v>
      </c>
      <c r="AL8" s="214">
        <v>0</v>
      </c>
    </row>
    <row r="9" spans="1:38" x14ac:dyDescent="0.25">
      <c r="A9" s="214" t="s">
        <v>673</v>
      </c>
      <c r="B9" s="214">
        <v>0</v>
      </c>
      <c r="C9" s="214">
        <v>0</v>
      </c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  <c r="T9" s="214">
        <v>0</v>
      </c>
      <c r="U9" s="214">
        <v>0</v>
      </c>
      <c r="V9" s="214">
        <v>0</v>
      </c>
      <c r="W9" s="214">
        <v>0</v>
      </c>
      <c r="X9" s="214">
        <v>160</v>
      </c>
      <c r="Y9" s="214">
        <v>160</v>
      </c>
      <c r="Z9" s="214">
        <v>160</v>
      </c>
      <c r="AA9" s="214">
        <v>0</v>
      </c>
      <c r="AB9" s="214">
        <v>0</v>
      </c>
      <c r="AC9" s="214">
        <v>0</v>
      </c>
      <c r="AD9" s="214">
        <v>0</v>
      </c>
      <c r="AE9" s="214">
        <v>0</v>
      </c>
      <c r="AF9" s="214">
        <v>0</v>
      </c>
      <c r="AG9" s="214">
        <v>0</v>
      </c>
      <c r="AH9" s="214">
        <v>0</v>
      </c>
      <c r="AI9" s="214">
        <v>0</v>
      </c>
      <c r="AJ9" s="214">
        <v>0</v>
      </c>
      <c r="AK9" s="214">
        <v>0</v>
      </c>
      <c r="AL9" s="214">
        <v>0</v>
      </c>
    </row>
    <row r="10" spans="1:38" x14ac:dyDescent="0.25">
      <c r="A10" s="214" t="s">
        <v>672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14">
        <v>0</v>
      </c>
      <c r="S10" s="214">
        <v>0</v>
      </c>
      <c r="T10" s="214">
        <v>0</v>
      </c>
      <c r="U10" s="214">
        <v>0</v>
      </c>
      <c r="V10" s="214">
        <v>0</v>
      </c>
      <c r="W10" s="214">
        <v>0</v>
      </c>
      <c r="X10" s="214">
        <v>0</v>
      </c>
      <c r="Y10" s="214">
        <v>62.5</v>
      </c>
      <c r="Z10" s="214">
        <v>81.5</v>
      </c>
      <c r="AA10" s="214">
        <v>0</v>
      </c>
      <c r="AB10" s="214">
        <v>0</v>
      </c>
      <c r="AC10" s="214">
        <v>0</v>
      </c>
      <c r="AD10" s="214">
        <v>0</v>
      </c>
      <c r="AE10" s="214">
        <v>0</v>
      </c>
      <c r="AF10" s="214">
        <v>0</v>
      </c>
      <c r="AG10" s="214">
        <v>0</v>
      </c>
      <c r="AH10" s="214">
        <v>0</v>
      </c>
      <c r="AI10" s="214">
        <v>0</v>
      </c>
      <c r="AJ10" s="214">
        <v>0</v>
      </c>
      <c r="AK10" s="214">
        <v>0</v>
      </c>
      <c r="AL10" s="214">
        <v>0</v>
      </c>
    </row>
    <row r="11" spans="1:38" x14ac:dyDescent="0.25">
      <c r="A11" s="214" t="s">
        <v>671</v>
      </c>
      <c r="B11" s="214">
        <v>0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  <c r="T11" s="214">
        <v>0</v>
      </c>
      <c r="U11" s="214">
        <v>0</v>
      </c>
      <c r="V11" s="214">
        <v>0</v>
      </c>
      <c r="W11" s="214">
        <v>0</v>
      </c>
      <c r="X11" s="214">
        <v>0</v>
      </c>
      <c r="Y11" s="214">
        <v>36</v>
      </c>
      <c r="Z11" s="214">
        <v>50</v>
      </c>
      <c r="AA11" s="214">
        <v>0</v>
      </c>
      <c r="AB11" s="214">
        <v>0</v>
      </c>
      <c r="AC11" s="214">
        <v>0</v>
      </c>
      <c r="AD11" s="214">
        <v>0</v>
      </c>
      <c r="AE11" s="214">
        <v>0</v>
      </c>
      <c r="AF11" s="214">
        <v>0</v>
      </c>
      <c r="AG11" s="214">
        <v>0</v>
      </c>
      <c r="AH11" s="214">
        <v>0</v>
      </c>
      <c r="AI11" s="214">
        <v>0</v>
      </c>
      <c r="AJ11" s="214">
        <v>0</v>
      </c>
      <c r="AK11" s="214">
        <v>0</v>
      </c>
      <c r="AL11" s="214">
        <v>0</v>
      </c>
    </row>
    <row r="12" spans="1:38" x14ac:dyDescent="0.25">
      <c r="A12" s="214" t="s">
        <v>670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14">
        <v>0</v>
      </c>
      <c r="S12" s="214">
        <v>0</v>
      </c>
      <c r="T12" s="214">
        <v>0</v>
      </c>
      <c r="U12" s="214">
        <v>0</v>
      </c>
      <c r="V12" s="214">
        <v>0</v>
      </c>
      <c r="W12" s="214">
        <v>0</v>
      </c>
      <c r="X12" s="214">
        <v>0</v>
      </c>
      <c r="Y12" s="214">
        <v>93</v>
      </c>
      <c r="Z12" s="214">
        <v>100.5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>
        <v>0</v>
      </c>
      <c r="AK12" s="214">
        <v>0</v>
      </c>
      <c r="AL12" s="214">
        <v>0</v>
      </c>
    </row>
    <row r="13" spans="1:38" x14ac:dyDescent="0.25">
      <c r="A13" s="214" t="s">
        <v>669</v>
      </c>
      <c r="B13" s="214">
        <v>0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0</v>
      </c>
      <c r="X13" s="214">
        <v>0</v>
      </c>
      <c r="Y13" s="214">
        <v>188</v>
      </c>
      <c r="Z13" s="214">
        <v>232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214">
        <v>0</v>
      </c>
      <c r="AL13" s="214">
        <v>0</v>
      </c>
    </row>
    <row r="14" spans="1:38" x14ac:dyDescent="0.25">
      <c r="A14" s="214" t="s">
        <v>692</v>
      </c>
      <c r="B14" s="214">
        <v>0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0</v>
      </c>
      <c r="V14" s="214">
        <v>0</v>
      </c>
      <c r="W14" s="214">
        <v>0</v>
      </c>
      <c r="X14" s="214">
        <v>45</v>
      </c>
      <c r="Y14" s="214">
        <v>75</v>
      </c>
      <c r="Z14" s="214">
        <v>96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>
        <v>0</v>
      </c>
      <c r="AK14" s="214">
        <v>0</v>
      </c>
      <c r="AL14" s="214">
        <v>0</v>
      </c>
    </row>
    <row r="15" spans="1:38" x14ac:dyDescent="0.25">
      <c r="A15" s="214" t="s">
        <v>691</v>
      </c>
      <c r="B15" s="214">
        <v>0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14">
        <v>32.5</v>
      </c>
      <c r="Y15" s="214">
        <v>40</v>
      </c>
      <c r="Z15" s="214">
        <v>57.5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>
        <v>0</v>
      </c>
      <c r="AK15" s="214">
        <v>0</v>
      </c>
      <c r="AL15" s="214">
        <v>0</v>
      </c>
    </row>
    <row r="16" spans="1:38" x14ac:dyDescent="0.25">
      <c r="A16" s="214" t="s">
        <v>690</v>
      </c>
      <c r="B16" s="214">
        <v>0</v>
      </c>
      <c r="C16" s="214">
        <v>0</v>
      </c>
      <c r="D16" s="214">
        <v>0</v>
      </c>
      <c r="E16" s="214">
        <v>0</v>
      </c>
      <c r="F16" s="214">
        <v>142.5</v>
      </c>
      <c r="G16" s="214">
        <v>142.5</v>
      </c>
      <c r="H16" s="214">
        <v>142.5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14">
        <v>75</v>
      </c>
      <c r="Y16" s="214">
        <v>105</v>
      </c>
      <c r="Z16" s="214">
        <v>130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>
        <v>0</v>
      </c>
      <c r="AK16" s="214">
        <v>0</v>
      </c>
      <c r="AL16" s="214">
        <v>0</v>
      </c>
    </row>
    <row r="17" spans="1:38" x14ac:dyDescent="0.25">
      <c r="A17" s="214" t="s">
        <v>689</v>
      </c>
      <c r="B17" s="214">
        <v>0</v>
      </c>
      <c r="C17" s="214">
        <v>0</v>
      </c>
      <c r="D17" s="214">
        <v>0</v>
      </c>
      <c r="E17" s="214">
        <v>0</v>
      </c>
      <c r="F17" s="214">
        <v>317.5</v>
      </c>
      <c r="G17" s="214">
        <v>317.5</v>
      </c>
      <c r="H17" s="214">
        <v>317.5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14">
        <v>152.5</v>
      </c>
      <c r="Y17" s="214">
        <v>220</v>
      </c>
      <c r="Z17" s="214">
        <v>280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>
        <v>0</v>
      </c>
      <c r="AK17" s="214">
        <v>0</v>
      </c>
      <c r="AL17" s="214">
        <v>0</v>
      </c>
    </row>
    <row r="18" spans="1:38" x14ac:dyDescent="0.25">
      <c r="A18" s="214" t="s">
        <v>688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70</v>
      </c>
      <c r="V18" s="214">
        <v>70</v>
      </c>
      <c r="W18" s="214">
        <v>70</v>
      </c>
      <c r="X18" s="214">
        <v>42.5</v>
      </c>
      <c r="Y18" s="214">
        <v>55</v>
      </c>
      <c r="Z18" s="214">
        <v>105</v>
      </c>
      <c r="AA18" s="214">
        <v>70</v>
      </c>
      <c r="AB18" s="214">
        <v>70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>
        <v>0</v>
      </c>
      <c r="AK18" s="214">
        <v>0</v>
      </c>
      <c r="AL18" s="214">
        <v>0</v>
      </c>
    </row>
    <row r="19" spans="1:38" x14ac:dyDescent="0.25">
      <c r="A19" s="214" t="s">
        <v>687</v>
      </c>
      <c r="B19" s="214">
        <v>0</v>
      </c>
      <c r="C19" s="214">
        <v>0</v>
      </c>
      <c r="D19" s="214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57.5</v>
      </c>
      <c r="V19" s="214">
        <v>57.5</v>
      </c>
      <c r="W19" s="214">
        <v>57.5</v>
      </c>
      <c r="X19" s="214">
        <v>22.5</v>
      </c>
      <c r="Y19" s="214">
        <v>42.5</v>
      </c>
      <c r="Z19" s="214">
        <v>62.5</v>
      </c>
      <c r="AA19" s="214">
        <v>57.5</v>
      </c>
      <c r="AB19" s="214">
        <v>57.5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>
        <v>0</v>
      </c>
      <c r="AK19" s="214">
        <v>0</v>
      </c>
      <c r="AL19" s="214">
        <v>0</v>
      </c>
    </row>
    <row r="20" spans="1:38" x14ac:dyDescent="0.25">
      <c r="A20" s="214" t="s">
        <v>686</v>
      </c>
      <c r="B20" s="214">
        <v>0</v>
      </c>
      <c r="C20" s="214">
        <v>0</v>
      </c>
      <c r="D20" s="214">
        <v>0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97.5</v>
      </c>
      <c r="V20" s="214">
        <v>97.5</v>
      </c>
      <c r="W20" s="214">
        <v>97.5</v>
      </c>
      <c r="X20" s="214">
        <v>55</v>
      </c>
      <c r="Y20" s="214">
        <v>87.5</v>
      </c>
      <c r="Z20" s="214">
        <v>137.5</v>
      </c>
      <c r="AA20" s="214">
        <v>97.5</v>
      </c>
      <c r="AB20" s="214">
        <v>97.5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>
        <v>0</v>
      </c>
      <c r="AK20" s="214">
        <v>0</v>
      </c>
      <c r="AL20" s="214">
        <v>0</v>
      </c>
    </row>
    <row r="21" spans="1:38" x14ac:dyDescent="0.25">
      <c r="A21" s="214" t="s">
        <v>685</v>
      </c>
      <c r="B21" s="214">
        <v>0</v>
      </c>
      <c r="C21" s="214">
        <v>0</v>
      </c>
      <c r="D21" s="214">
        <v>0</v>
      </c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4">
        <v>225</v>
      </c>
      <c r="V21" s="214">
        <v>225</v>
      </c>
      <c r="W21" s="214">
        <v>225</v>
      </c>
      <c r="X21" s="214">
        <v>120</v>
      </c>
      <c r="Y21" s="214">
        <v>180</v>
      </c>
      <c r="Z21" s="214">
        <v>305</v>
      </c>
      <c r="AA21" s="214">
        <v>225</v>
      </c>
      <c r="AB21" s="214">
        <v>225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>
        <v>0</v>
      </c>
      <c r="AK21" s="214">
        <v>0</v>
      </c>
      <c r="AL21" s="214">
        <v>0</v>
      </c>
    </row>
    <row r="22" spans="1:38" x14ac:dyDescent="0.25">
      <c r="A22" s="214" t="s">
        <v>203</v>
      </c>
      <c r="B22" s="214">
        <v>0</v>
      </c>
      <c r="C22" s="214">
        <v>55</v>
      </c>
      <c r="D22" s="214">
        <v>82.5</v>
      </c>
      <c r="E22" s="214">
        <v>162.5</v>
      </c>
      <c r="F22" s="214">
        <v>210</v>
      </c>
      <c r="G22" s="214">
        <v>217.5</v>
      </c>
      <c r="H22" s="214">
        <v>217.5</v>
      </c>
      <c r="I22" s="214">
        <v>217.5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0</v>
      </c>
      <c r="S22" s="214">
        <v>0</v>
      </c>
      <c r="T22" s="214">
        <v>0</v>
      </c>
      <c r="U22" s="214">
        <v>142.5</v>
      </c>
      <c r="V22" s="214">
        <v>145</v>
      </c>
      <c r="W22" s="214">
        <v>165</v>
      </c>
      <c r="X22" s="214">
        <v>15</v>
      </c>
      <c r="Y22" s="214">
        <v>77.5</v>
      </c>
      <c r="Z22" s="214">
        <v>105</v>
      </c>
      <c r="AA22" s="214">
        <v>170</v>
      </c>
      <c r="AB22" s="214">
        <v>165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>
        <v>0</v>
      </c>
      <c r="AK22" s="214">
        <v>0</v>
      </c>
      <c r="AL22" s="214">
        <v>0</v>
      </c>
    </row>
    <row r="23" spans="1:38" x14ac:dyDescent="0.25">
      <c r="A23" s="214" t="s">
        <v>204</v>
      </c>
      <c r="B23" s="214">
        <v>0</v>
      </c>
      <c r="C23" s="214">
        <v>35.5</v>
      </c>
      <c r="D23" s="214">
        <v>62.5</v>
      </c>
      <c r="E23" s="214">
        <v>97.5</v>
      </c>
      <c r="F23" s="214">
        <v>157.5</v>
      </c>
      <c r="G23" s="214">
        <v>157.5</v>
      </c>
      <c r="H23" s="214">
        <v>157.5</v>
      </c>
      <c r="I23" s="214">
        <v>145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0</v>
      </c>
      <c r="U23" s="214">
        <v>82.5</v>
      </c>
      <c r="V23" s="214">
        <v>95</v>
      </c>
      <c r="W23" s="214">
        <v>115</v>
      </c>
      <c r="X23" s="214">
        <v>20</v>
      </c>
      <c r="Y23" s="214">
        <v>45</v>
      </c>
      <c r="Z23" s="214">
        <v>72.5</v>
      </c>
      <c r="AA23" s="214">
        <v>117.5</v>
      </c>
      <c r="AB23" s="214">
        <v>115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>
        <v>0</v>
      </c>
      <c r="AK23" s="214">
        <v>0</v>
      </c>
      <c r="AL23" s="214">
        <v>0</v>
      </c>
    </row>
    <row r="24" spans="1:38" x14ac:dyDescent="0.25">
      <c r="A24" s="214" t="s">
        <v>205</v>
      </c>
      <c r="B24" s="214">
        <v>0</v>
      </c>
      <c r="C24" s="214">
        <v>97.5</v>
      </c>
      <c r="D24" s="214">
        <v>120</v>
      </c>
      <c r="E24" s="214">
        <v>195</v>
      </c>
      <c r="F24" s="214">
        <v>207.5</v>
      </c>
      <c r="G24" s="214">
        <v>230</v>
      </c>
      <c r="H24" s="214">
        <v>250</v>
      </c>
      <c r="I24" s="214">
        <v>237.5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0</v>
      </c>
      <c r="U24" s="214">
        <v>201</v>
      </c>
      <c r="V24" s="214">
        <v>201</v>
      </c>
      <c r="W24" s="214">
        <v>230</v>
      </c>
      <c r="X24" s="214">
        <v>52.5</v>
      </c>
      <c r="Y24" s="214">
        <v>112.5</v>
      </c>
      <c r="Z24" s="214">
        <v>140</v>
      </c>
      <c r="AA24" s="214">
        <v>271.5</v>
      </c>
      <c r="AB24" s="214">
        <v>232.5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>
        <v>0</v>
      </c>
      <c r="AK24" s="214">
        <v>0</v>
      </c>
      <c r="AL24" s="214">
        <v>0</v>
      </c>
    </row>
    <row r="25" spans="1:38" x14ac:dyDescent="0.25">
      <c r="A25" s="214" t="s">
        <v>206</v>
      </c>
      <c r="B25" s="214">
        <v>0</v>
      </c>
      <c r="C25" s="214">
        <v>188</v>
      </c>
      <c r="D25" s="214">
        <v>265</v>
      </c>
      <c r="E25" s="214">
        <v>450</v>
      </c>
      <c r="F25" s="214">
        <v>530</v>
      </c>
      <c r="G25" s="214">
        <v>547.5</v>
      </c>
      <c r="H25" s="214">
        <v>642.5</v>
      </c>
      <c r="I25" s="214">
        <v>642.5</v>
      </c>
      <c r="J25" s="214">
        <v>0</v>
      </c>
      <c r="K25" s="214">
        <v>550</v>
      </c>
      <c r="L25" s="214">
        <v>502.5</v>
      </c>
      <c r="M25" s="214">
        <v>502.5</v>
      </c>
      <c r="N25" s="214">
        <v>500</v>
      </c>
      <c r="O25" s="214">
        <v>0</v>
      </c>
      <c r="P25" s="214">
        <v>0</v>
      </c>
      <c r="Q25" s="214">
        <v>0</v>
      </c>
      <c r="R25" s="214">
        <v>0</v>
      </c>
      <c r="S25" s="214">
        <v>0</v>
      </c>
      <c r="T25" s="214">
        <v>0</v>
      </c>
      <c r="U25" s="214">
        <v>421</v>
      </c>
      <c r="V25" s="214">
        <v>421</v>
      </c>
      <c r="W25" s="214">
        <v>502.5</v>
      </c>
      <c r="X25" s="214">
        <v>157.5</v>
      </c>
      <c r="Y25" s="214">
        <v>257.5</v>
      </c>
      <c r="Z25" s="214">
        <v>317.5</v>
      </c>
      <c r="AA25" s="214">
        <v>559</v>
      </c>
      <c r="AB25" s="214">
        <v>740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</row>
    <row r="26" spans="1:38" x14ac:dyDescent="0.25">
      <c r="A26" s="214" t="s">
        <v>207</v>
      </c>
      <c r="B26" s="214">
        <v>0</v>
      </c>
      <c r="C26" s="214">
        <v>0</v>
      </c>
      <c r="D26" s="214">
        <v>105</v>
      </c>
      <c r="E26" s="214">
        <v>197.5</v>
      </c>
      <c r="F26" s="214">
        <v>215.5</v>
      </c>
      <c r="G26" s="214">
        <v>242.5</v>
      </c>
      <c r="H26" s="214">
        <v>250</v>
      </c>
      <c r="I26" s="214">
        <v>255.5</v>
      </c>
      <c r="J26" s="214">
        <v>253</v>
      </c>
      <c r="K26" s="214">
        <v>253</v>
      </c>
      <c r="L26" s="214">
        <v>253</v>
      </c>
      <c r="M26" s="214">
        <v>152.5</v>
      </c>
      <c r="N26" s="214">
        <v>152.5</v>
      </c>
      <c r="O26" s="214">
        <v>152.5</v>
      </c>
      <c r="P26" s="214">
        <v>142.5</v>
      </c>
      <c r="Q26" s="214">
        <v>0</v>
      </c>
      <c r="R26" s="214">
        <v>0</v>
      </c>
      <c r="S26" s="214">
        <v>0</v>
      </c>
      <c r="T26" s="214">
        <v>0</v>
      </c>
      <c r="U26" s="214">
        <v>165</v>
      </c>
      <c r="V26" s="214">
        <v>195</v>
      </c>
      <c r="W26" s="214">
        <v>212.5</v>
      </c>
      <c r="X26" s="214">
        <v>35</v>
      </c>
      <c r="Y26" s="214">
        <v>72.5</v>
      </c>
      <c r="Z26" s="214">
        <v>112.5</v>
      </c>
      <c r="AA26" s="214">
        <v>212.5</v>
      </c>
      <c r="AB26" s="214">
        <v>242.5</v>
      </c>
      <c r="AC26" s="214">
        <v>192.5</v>
      </c>
      <c r="AD26" s="214">
        <v>192.5</v>
      </c>
      <c r="AE26" s="214">
        <v>192.5</v>
      </c>
      <c r="AF26" s="214">
        <v>171</v>
      </c>
      <c r="AG26" s="214">
        <v>171</v>
      </c>
      <c r="AH26" s="214">
        <v>117.5</v>
      </c>
      <c r="AI26" s="214">
        <v>105</v>
      </c>
      <c r="AJ26" s="214">
        <v>77.5</v>
      </c>
      <c r="AK26" s="214">
        <v>77.5</v>
      </c>
      <c r="AL26" s="214">
        <v>0</v>
      </c>
    </row>
    <row r="27" spans="1:38" x14ac:dyDescent="0.25">
      <c r="A27" s="214" t="s">
        <v>208</v>
      </c>
      <c r="B27" s="214">
        <v>0</v>
      </c>
      <c r="C27" s="214">
        <v>0</v>
      </c>
      <c r="D27" s="214">
        <v>52.5</v>
      </c>
      <c r="E27" s="214">
        <v>125</v>
      </c>
      <c r="F27" s="214">
        <v>149.69999999999999</v>
      </c>
      <c r="G27" s="214">
        <v>150</v>
      </c>
      <c r="H27" s="214">
        <v>167.5</v>
      </c>
      <c r="I27" s="214">
        <v>167.5</v>
      </c>
      <c r="J27" s="214">
        <v>142.5</v>
      </c>
      <c r="K27" s="214">
        <v>132.5</v>
      </c>
      <c r="L27" s="214">
        <v>117.5</v>
      </c>
      <c r="M27" s="214">
        <v>117.5</v>
      </c>
      <c r="N27" s="214">
        <v>97.5</v>
      </c>
      <c r="O27" s="214">
        <v>97.5</v>
      </c>
      <c r="P27" s="214">
        <v>97.5</v>
      </c>
      <c r="Q27" s="214">
        <v>0</v>
      </c>
      <c r="R27" s="214">
        <v>0</v>
      </c>
      <c r="S27" s="214">
        <v>0</v>
      </c>
      <c r="T27" s="214">
        <v>0</v>
      </c>
      <c r="U27" s="214">
        <v>115.5</v>
      </c>
      <c r="V27" s="214">
        <v>115.5</v>
      </c>
      <c r="W27" s="214">
        <v>127.5</v>
      </c>
      <c r="X27" s="214">
        <v>40</v>
      </c>
      <c r="Y27" s="214">
        <v>40</v>
      </c>
      <c r="Z27" s="214">
        <v>72.5</v>
      </c>
      <c r="AA27" s="214">
        <v>150</v>
      </c>
      <c r="AB27" s="214">
        <v>150</v>
      </c>
      <c r="AC27" s="214">
        <v>110</v>
      </c>
      <c r="AD27" s="214">
        <v>102.5</v>
      </c>
      <c r="AE27" s="214">
        <v>95</v>
      </c>
      <c r="AF27" s="214">
        <v>95</v>
      </c>
      <c r="AG27" s="214">
        <v>95</v>
      </c>
      <c r="AH27" s="214">
        <v>80</v>
      </c>
      <c r="AI27" s="214">
        <v>80</v>
      </c>
      <c r="AJ27" s="214">
        <v>42.5</v>
      </c>
      <c r="AK27" s="214">
        <v>42.5</v>
      </c>
      <c r="AL27" s="214">
        <v>0</v>
      </c>
    </row>
    <row r="28" spans="1:38" x14ac:dyDescent="0.25">
      <c r="A28" s="214" t="s">
        <v>209</v>
      </c>
      <c r="B28" s="214">
        <v>0</v>
      </c>
      <c r="C28" s="214">
        <v>0</v>
      </c>
      <c r="D28" s="214">
        <v>115</v>
      </c>
      <c r="E28" s="214">
        <v>205</v>
      </c>
      <c r="F28" s="214">
        <v>217.5</v>
      </c>
      <c r="G28" s="214">
        <v>227.5</v>
      </c>
      <c r="H28" s="214">
        <v>258.5</v>
      </c>
      <c r="I28" s="214">
        <v>262.5</v>
      </c>
      <c r="J28" s="214">
        <v>255</v>
      </c>
      <c r="K28" s="214">
        <v>255</v>
      </c>
      <c r="L28" s="214">
        <v>252.5</v>
      </c>
      <c r="M28" s="214">
        <v>177.5</v>
      </c>
      <c r="N28" s="214">
        <v>177.5</v>
      </c>
      <c r="O28" s="214">
        <v>177.5</v>
      </c>
      <c r="P28" s="214">
        <v>177.5</v>
      </c>
      <c r="Q28" s="214">
        <v>0</v>
      </c>
      <c r="R28" s="214">
        <v>0</v>
      </c>
      <c r="S28" s="214">
        <v>0</v>
      </c>
      <c r="T28" s="214">
        <v>0</v>
      </c>
      <c r="U28" s="214">
        <v>201</v>
      </c>
      <c r="V28" s="214">
        <v>217.5</v>
      </c>
      <c r="W28" s="214">
        <v>242.5</v>
      </c>
      <c r="X28" s="214">
        <v>60</v>
      </c>
      <c r="Y28" s="214">
        <v>100</v>
      </c>
      <c r="Z28" s="214">
        <v>137.5</v>
      </c>
      <c r="AA28" s="214">
        <v>250</v>
      </c>
      <c r="AB28" s="214">
        <v>252.5</v>
      </c>
      <c r="AC28" s="214">
        <v>252.5</v>
      </c>
      <c r="AD28" s="214">
        <v>252.5</v>
      </c>
      <c r="AE28" s="214">
        <v>252.5</v>
      </c>
      <c r="AF28" s="214">
        <v>201</v>
      </c>
      <c r="AG28" s="214">
        <v>201</v>
      </c>
      <c r="AH28" s="214">
        <v>137.5</v>
      </c>
      <c r="AI28" s="214">
        <v>160</v>
      </c>
      <c r="AJ28" s="214">
        <v>102.5</v>
      </c>
      <c r="AK28" s="214">
        <v>102.5</v>
      </c>
      <c r="AL28" s="214">
        <v>0</v>
      </c>
    </row>
    <row r="29" spans="1:38" x14ac:dyDescent="0.25">
      <c r="A29" s="214" t="s">
        <v>210</v>
      </c>
      <c r="B29" s="214">
        <v>0</v>
      </c>
      <c r="C29" s="214">
        <v>240</v>
      </c>
      <c r="D29" s="214">
        <v>272.5</v>
      </c>
      <c r="E29" s="214">
        <v>527.5</v>
      </c>
      <c r="F29" s="214">
        <v>537.5</v>
      </c>
      <c r="G29" s="214">
        <v>590</v>
      </c>
      <c r="H29" s="214">
        <v>605.5</v>
      </c>
      <c r="I29" s="214">
        <v>648</v>
      </c>
      <c r="J29" s="214">
        <v>612.5</v>
      </c>
      <c r="K29" s="214">
        <v>612.5</v>
      </c>
      <c r="L29" s="214">
        <v>610.5</v>
      </c>
      <c r="M29" s="214">
        <v>430</v>
      </c>
      <c r="N29" s="214">
        <v>412.5</v>
      </c>
      <c r="O29" s="214">
        <v>412.5</v>
      </c>
      <c r="P29" s="214">
        <v>412.5</v>
      </c>
      <c r="Q29" s="214">
        <v>0</v>
      </c>
      <c r="R29" s="214">
        <v>0</v>
      </c>
      <c r="S29" s="214">
        <v>0</v>
      </c>
      <c r="T29" s="214">
        <v>0</v>
      </c>
      <c r="U29" s="214">
        <v>462.5</v>
      </c>
      <c r="V29" s="214">
        <v>525</v>
      </c>
      <c r="W29" s="214">
        <v>557.5</v>
      </c>
      <c r="X29" s="214">
        <v>240</v>
      </c>
      <c r="Y29" s="214">
        <v>240</v>
      </c>
      <c r="Z29" s="214">
        <v>315</v>
      </c>
      <c r="AA29" s="214">
        <v>577.5</v>
      </c>
      <c r="AB29" s="214">
        <v>577.5</v>
      </c>
      <c r="AC29" s="214">
        <v>545</v>
      </c>
      <c r="AD29" s="214">
        <v>545</v>
      </c>
      <c r="AE29" s="214">
        <v>535</v>
      </c>
      <c r="AF29" s="214">
        <v>396</v>
      </c>
      <c r="AG29" s="214">
        <v>396</v>
      </c>
      <c r="AH29" s="214">
        <v>340</v>
      </c>
      <c r="AI29" s="214">
        <v>340</v>
      </c>
      <c r="AJ29" s="214">
        <v>222.5</v>
      </c>
      <c r="AK29" s="214">
        <v>222.5</v>
      </c>
      <c r="AL29" s="214">
        <v>0</v>
      </c>
    </row>
    <row r="30" spans="1:38" x14ac:dyDescent="0.25">
      <c r="A30" s="214" t="s">
        <v>211</v>
      </c>
      <c r="B30" s="214">
        <v>0</v>
      </c>
      <c r="C30" s="214">
        <v>0</v>
      </c>
      <c r="D30" s="214">
        <v>82.5</v>
      </c>
      <c r="E30" s="214">
        <v>205</v>
      </c>
      <c r="F30" s="214">
        <v>245</v>
      </c>
      <c r="G30" s="214">
        <v>272.5</v>
      </c>
      <c r="H30" s="214">
        <v>317.5</v>
      </c>
      <c r="I30" s="214">
        <v>317.5</v>
      </c>
      <c r="J30" s="214">
        <v>250</v>
      </c>
      <c r="K30" s="214">
        <v>225</v>
      </c>
      <c r="L30" s="214">
        <v>225</v>
      </c>
      <c r="M30" s="214">
        <v>200</v>
      </c>
      <c r="N30" s="214">
        <v>200</v>
      </c>
      <c r="O30" s="214">
        <v>200</v>
      </c>
      <c r="P30" s="214">
        <v>165</v>
      </c>
      <c r="Q30" s="214">
        <v>112.5</v>
      </c>
      <c r="R30" s="214">
        <v>0</v>
      </c>
      <c r="S30" s="214">
        <v>0</v>
      </c>
      <c r="T30" s="214">
        <v>0</v>
      </c>
      <c r="U30" s="214">
        <v>170</v>
      </c>
      <c r="V30" s="214">
        <v>193</v>
      </c>
      <c r="W30" s="214">
        <v>207.5</v>
      </c>
      <c r="X30" s="214">
        <v>0</v>
      </c>
      <c r="Y30" s="214">
        <v>150</v>
      </c>
      <c r="Z30" s="214">
        <v>150</v>
      </c>
      <c r="AA30" s="214">
        <v>253</v>
      </c>
      <c r="AB30" s="214">
        <v>255</v>
      </c>
      <c r="AC30" s="214">
        <v>197.5</v>
      </c>
      <c r="AD30" s="214">
        <v>191</v>
      </c>
      <c r="AE30" s="214">
        <v>191</v>
      </c>
      <c r="AF30" s="214">
        <v>190</v>
      </c>
      <c r="AG30" s="214">
        <v>185.5</v>
      </c>
      <c r="AH30" s="214">
        <v>122.5</v>
      </c>
      <c r="AI30" s="214">
        <v>122.5</v>
      </c>
      <c r="AJ30" s="214">
        <v>82.5</v>
      </c>
      <c r="AK30" s="214">
        <v>82.5</v>
      </c>
      <c r="AL30" s="214">
        <v>82.5</v>
      </c>
    </row>
    <row r="31" spans="1:38" x14ac:dyDescent="0.25">
      <c r="A31" s="214" t="s">
        <v>212</v>
      </c>
      <c r="B31" s="214">
        <v>0</v>
      </c>
      <c r="C31" s="214">
        <v>0</v>
      </c>
      <c r="D31" s="214">
        <v>57.5</v>
      </c>
      <c r="E31" s="214">
        <v>132.5</v>
      </c>
      <c r="F31" s="214">
        <v>152.5</v>
      </c>
      <c r="G31" s="214">
        <v>205</v>
      </c>
      <c r="H31" s="214">
        <v>230</v>
      </c>
      <c r="I31" s="214">
        <v>230</v>
      </c>
      <c r="J31" s="214">
        <v>142.5</v>
      </c>
      <c r="K31" s="214">
        <v>147.5</v>
      </c>
      <c r="L31" s="214">
        <v>147.5</v>
      </c>
      <c r="M31" s="214">
        <v>137.5</v>
      </c>
      <c r="N31" s="214">
        <v>137.5</v>
      </c>
      <c r="O31" s="214">
        <v>137.5</v>
      </c>
      <c r="P31" s="214">
        <v>132.5</v>
      </c>
      <c r="Q31" s="214">
        <v>75</v>
      </c>
      <c r="R31" s="214">
        <v>0</v>
      </c>
      <c r="S31" s="214">
        <v>0</v>
      </c>
      <c r="T31" s="214">
        <v>0</v>
      </c>
      <c r="U31" s="214">
        <v>132.5</v>
      </c>
      <c r="V31" s="214">
        <v>137.5</v>
      </c>
      <c r="W31" s="214">
        <v>142.5</v>
      </c>
      <c r="X31" s="214">
        <v>0</v>
      </c>
      <c r="Y31" s="214">
        <v>57.5</v>
      </c>
      <c r="Z31" s="214">
        <v>78</v>
      </c>
      <c r="AA31" s="214">
        <v>167.5</v>
      </c>
      <c r="AB31" s="214">
        <v>167.5</v>
      </c>
      <c r="AC31" s="214">
        <v>147.5</v>
      </c>
      <c r="AD31" s="214">
        <v>147.5</v>
      </c>
      <c r="AE31" s="214">
        <v>142.5</v>
      </c>
      <c r="AF31" s="214">
        <v>142.5</v>
      </c>
      <c r="AG31" s="214">
        <v>110</v>
      </c>
      <c r="AH31" s="214">
        <v>92.5</v>
      </c>
      <c r="AI31" s="214">
        <v>92.5</v>
      </c>
      <c r="AJ31" s="214">
        <v>77.5</v>
      </c>
      <c r="AK31" s="214">
        <v>62.5</v>
      </c>
      <c r="AL31" s="214">
        <v>62.5</v>
      </c>
    </row>
    <row r="32" spans="1:38" x14ac:dyDescent="0.25">
      <c r="A32" s="214" t="s">
        <v>213</v>
      </c>
      <c r="B32" s="214">
        <v>0</v>
      </c>
      <c r="C32" s="214">
        <v>0</v>
      </c>
      <c r="D32" s="214">
        <v>100</v>
      </c>
      <c r="E32" s="214">
        <v>220</v>
      </c>
      <c r="F32" s="214">
        <v>240</v>
      </c>
      <c r="G32" s="214">
        <v>260</v>
      </c>
      <c r="H32" s="214">
        <v>275</v>
      </c>
      <c r="I32" s="214">
        <v>277.5</v>
      </c>
      <c r="J32" s="214">
        <v>272.2</v>
      </c>
      <c r="K32" s="214">
        <v>272.2</v>
      </c>
      <c r="L32" s="214">
        <v>272.2</v>
      </c>
      <c r="M32" s="214">
        <v>225</v>
      </c>
      <c r="N32" s="214">
        <v>210</v>
      </c>
      <c r="O32" s="214">
        <v>210</v>
      </c>
      <c r="P32" s="214">
        <v>157.5</v>
      </c>
      <c r="Q32" s="214">
        <v>120</v>
      </c>
      <c r="R32" s="214">
        <v>0</v>
      </c>
      <c r="S32" s="214">
        <v>0</v>
      </c>
      <c r="T32" s="214">
        <v>0</v>
      </c>
      <c r="U32" s="214">
        <v>205</v>
      </c>
      <c r="V32" s="214">
        <v>212.5</v>
      </c>
      <c r="W32" s="214">
        <v>228</v>
      </c>
      <c r="X32" s="214">
        <v>0</v>
      </c>
      <c r="Y32" s="214">
        <v>75</v>
      </c>
      <c r="Z32" s="214">
        <v>155</v>
      </c>
      <c r="AA32" s="214">
        <v>270</v>
      </c>
      <c r="AB32" s="214">
        <v>277.5</v>
      </c>
      <c r="AC32" s="214">
        <v>262.5</v>
      </c>
      <c r="AD32" s="214">
        <v>235</v>
      </c>
      <c r="AE32" s="214">
        <v>230</v>
      </c>
      <c r="AF32" s="214">
        <v>205</v>
      </c>
      <c r="AG32" s="214">
        <v>190</v>
      </c>
      <c r="AH32" s="214">
        <v>150.5</v>
      </c>
      <c r="AI32" s="214">
        <v>150.5</v>
      </c>
      <c r="AJ32" s="214">
        <v>122.5</v>
      </c>
      <c r="AK32" s="214">
        <v>100</v>
      </c>
      <c r="AL32" s="214">
        <v>100</v>
      </c>
    </row>
    <row r="33" spans="1:38" x14ac:dyDescent="0.25">
      <c r="A33" s="214" t="s">
        <v>214</v>
      </c>
      <c r="B33" s="214">
        <v>0</v>
      </c>
      <c r="C33" s="214">
        <v>0</v>
      </c>
      <c r="D33" s="214">
        <v>240</v>
      </c>
      <c r="E33" s="214">
        <v>507.5</v>
      </c>
      <c r="F33" s="214">
        <v>605</v>
      </c>
      <c r="G33" s="214">
        <v>700</v>
      </c>
      <c r="H33" s="214">
        <v>770</v>
      </c>
      <c r="I33" s="214">
        <v>770</v>
      </c>
      <c r="J33" s="214">
        <v>625</v>
      </c>
      <c r="K33" s="214">
        <v>587.5</v>
      </c>
      <c r="L33" s="214">
        <v>577.5</v>
      </c>
      <c r="M33" s="214">
        <v>537.5</v>
      </c>
      <c r="N33" s="214">
        <v>515</v>
      </c>
      <c r="O33" s="214">
        <v>515</v>
      </c>
      <c r="P33" s="214">
        <v>430</v>
      </c>
      <c r="Q33" s="214">
        <v>282.5</v>
      </c>
      <c r="R33" s="214">
        <v>0</v>
      </c>
      <c r="S33" s="214">
        <v>0</v>
      </c>
      <c r="T33" s="214">
        <v>0</v>
      </c>
      <c r="U33" s="214">
        <v>507.5</v>
      </c>
      <c r="V33" s="214">
        <v>507.5</v>
      </c>
      <c r="W33" s="214">
        <v>575</v>
      </c>
      <c r="X33" s="214">
        <v>0</v>
      </c>
      <c r="Y33" s="214">
        <v>272.5</v>
      </c>
      <c r="Z33" s="214">
        <v>352.5</v>
      </c>
      <c r="AA33" s="214">
        <v>688</v>
      </c>
      <c r="AB33" s="214">
        <v>688</v>
      </c>
      <c r="AC33" s="214">
        <v>567.5</v>
      </c>
      <c r="AD33" s="214">
        <v>536</v>
      </c>
      <c r="AE33" s="214">
        <v>536</v>
      </c>
      <c r="AF33" s="214">
        <v>517.5</v>
      </c>
      <c r="AG33" s="214">
        <v>465.5</v>
      </c>
      <c r="AH33" s="214">
        <v>350</v>
      </c>
      <c r="AI33" s="214">
        <v>350</v>
      </c>
      <c r="AJ33" s="214">
        <v>245</v>
      </c>
      <c r="AK33" s="214">
        <v>245</v>
      </c>
      <c r="AL33" s="214">
        <v>245</v>
      </c>
    </row>
    <row r="34" spans="1:38" x14ac:dyDescent="0.25">
      <c r="A34" s="214" t="s">
        <v>215</v>
      </c>
      <c r="B34" s="214">
        <v>0</v>
      </c>
      <c r="C34" s="214">
        <v>0</v>
      </c>
      <c r="D34" s="214">
        <v>0</v>
      </c>
      <c r="E34" s="214">
        <v>232.5</v>
      </c>
      <c r="F34" s="214">
        <v>255</v>
      </c>
      <c r="G34" s="214">
        <v>305</v>
      </c>
      <c r="H34" s="214">
        <v>327.5</v>
      </c>
      <c r="I34" s="214">
        <v>327.5</v>
      </c>
      <c r="J34" s="214">
        <v>280</v>
      </c>
      <c r="K34" s="214">
        <v>267.5</v>
      </c>
      <c r="L34" s="214">
        <v>267.5</v>
      </c>
      <c r="M34" s="214">
        <v>242.5</v>
      </c>
      <c r="N34" s="214">
        <v>235</v>
      </c>
      <c r="O34" s="214">
        <v>200</v>
      </c>
      <c r="P34" s="214">
        <v>175</v>
      </c>
      <c r="Q34" s="214">
        <v>152.5</v>
      </c>
      <c r="R34" s="214">
        <v>67.5</v>
      </c>
      <c r="S34" s="214">
        <v>0</v>
      </c>
      <c r="T34" s="214">
        <v>0</v>
      </c>
      <c r="U34" s="214">
        <v>200</v>
      </c>
      <c r="V34" s="214">
        <v>215</v>
      </c>
      <c r="W34" s="214">
        <v>255.5</v>
      </c>
      <c r="X34" s="214">
        <v>0</v>
      </c>
      <c r="Y34" s="214">
        <v>0</v>
      </c>
      <c r="Z34" s="214">
        <v>200</v>
      </c>
      <c r="AA34" s="214">
        <v>263.5</v>
      </c>
      <c r="AB34" s="214">
        <v>265.5</v>
      </c>
      <c r="AC34" s="214">
        <v>247.5</v>
      </c>
      <c r="AD34" s="214">
        <v>220</v>
      </c>
      <c r="AE34" s="214">
        <v>197.5</v>
      </c>
      <c r="AF34" s="214">
        <v>183</v>
      </c>
      <c r="AG34" s="214">
        <v>175.5</v>
      </c>
      <c r="AH34" s="214">
        <v>160</v>
      </c>
      <c r="AI34" s="214">
        <v>160</v>
      </c>
      <c r="AJ34" s="214">
        <v>130</v>
      </c>
      <c r="AK34" s="214">
        <v>125</v>
      </c>
      <c r="AL34" s="214">
        <v>0</v>
      </c>
    </row>
    <row r="35" spans="1:38" x14ac:dyDescent="0.25">
      <c r="A35" s="214" t="s">
        <v>216</v>
      </c>
      <c r="B35" s="214">
        <v>0</v>
      </c>
      <c r="C35" s="214">
        <v>0</v>
      </c>
      <c r="D35" s="214">
        <v>0</v>
      </c>
      <c r="E35" s="214">
        <v>145</v>
      </c>
      <c r="F35" s="214">
        <v>160</v>
      </c>
      <c r="G35" s="214">
        <v>200.5</v>
      </c>
      <c r="H35" s="214">
        <v>235</v>
      </c>
      <c r="I35" s="214">
        <v>235</v>
      </c>
      <c r="J35" s="214">
        <v>187.5</v>
      </c>
      <c r="K35" s="214">
        <v>170</v>
      </c>
      <c r="L35" s="214">
        <v>170</v>
      </c>
      <c r="M35" s="214">
        <v>145</v>
      </c>
      <c r="N35" s="214">
        <v>145</v>
      </c>
      <c r="O35" s="214">
        <v>140</v>
      </c>
      <c r="P35" s="214">
        <v>140</v>
      </c>
      <c r="Q35" s="214">
        <v>110</v>
      </c>
      <c r="R35" s="214">
        <v>62.5</v>
      </c>
      <c r="S35" s="214">
        <v>0</v>
      </c>
      <c r="T35" s="214">
        <v>0</v>
      </c>
      <c r="U35" s="214">
        <v>142.5</v>
      </c>
      <c r="V35" s="214">
        <v>142.5</v>
      </c>
      <c r="W35" s="214">
        <v>165</v>
      </c>
      <c r="X35" s="214">
        <v>0</v>
      </c>
      <c r="Y35" s="214">
        <v>0</v>
      </c>
      <c r="Z35" s="214">
        <v>97.5</v>
      </c>
      <c r="AA35" s="214">
        <v>177.5</v>
      </c>
      <c r="AB35" s="214">
        <v>192.5</v>
      </c>
      <c r="AC35" s="214">
        <v>179</v>
      </c>
      <c r="AD35" s="214">
        <v>179</v>
      </c>
      <c r="AE35" s="214">
        <v>179</v>
      </c>
      <c r="AF35" s="214">
        <v>117.5</v>
      </c>
      <c r="AG35" s="214">
        <v>117.5</v>
      </c>
      <c r="AH35" s="214">
        <v>117.5</v>
      </c>
      <c r="AI35" s="214">
        <v>117.5</v>
      </c>
      <c r="AJ35" s="214">
        <v>92.5</v>
      </c>
      <c r="AK35" s="214">
        <v>90</v>
      </c>
      <c r="AL35" s="214">
        <v>0</v>
      </c>
    </row>
    <row r="36" spans="1:38" x14ac:dyDescent="0.25">
      <c r="A36" s="214" t="s">
        <v>217</v>
      </c>
      <c r="B36" s="214">
        <v>0</v>
      </c>
      <c r="C36" s="214">
        <v>0</v>
      </c>
      <c r="D36" s="214">
        <v>0</v>
      </c>
      <c r="E36" s="214">
        <v>227.5</v>
      </c>
      <c r="F36" s="214">
        <v>292.60000000000002</v>
      </c>
      <c r="G36" s="214">
        <v>297.5</v>
      </c>
      <c r="H36" s="214">
        <v>330</v>
      </c>
      <c r="I36" s="214">
        <v>330</v>
      </c>
      <c r="J36" s="214">
        <v>302.5</v>
      </c>
      <c r="K36" s="214">
        <v>272.5</v>
      </c>
      <c r="L36" s="214">
        <v>272.5</v>
      </c>
      <c r="M36" s="214">
        <v>255</v>
      </c>
      <c r="N36" s="214">
        <v>230</v>
      </c>
      <c r="O36" s="214">
        <v>225</v>
      </c>
      <c r="P36" s="214">
        <v>220</v>
      </c>
      <c r="Q36" s="214">
        <v>197.5</v>
      </c>
      <c r="R36" s="214">
        <v>125</v>
      </c>
      <c r="S36" s="214">
        <v>0</v>
      </c>
      <c r="T36" s="214">
        <v>0</v>
      </c>
      <c r="U36" s="214">
        <v>192.5</v>
      </c>
      <c r="V36" s="214">
        <v>252.5</v>
      </c>
      <c r="W36" s="214">
        <v>280.5</v>
      </c>
      <c r="X36" s="214">
        <v>0</v>
      </c>
      <c r="Y36" s="214">
        <v>0</v>
      </c>
      <c r="Z36" s="214">
        <v>182.5</v>
      </c>
      <c r="AA36" s="214">
        <v>305</v>
      </c>
      <c r="AB36" s="214">
        <v>307.5</v>
      </c>
      <c r="AC36" s="214">
        <v>307.5</v>
      </c>
      <c r="AD36" s="214">
        <v>240</v>
      </c>
      <c r="AE36" s="214">
        <v>240</v>
      </c>
      <c r="AF36" s="214">
        <v>240</v>
      </c>
      <c r="AG36" s="214">
        <v>202.5</v>
      </c>
      <c r="AH36" s="214">
        <v>195</v>
      </c>
      <c r="AI36" s="214">
        <v>195</v>
      </c>
      <c r="AJ36" s="214">
        <v>167.5</v>
      </c>
      <c r="AK36" s="214">
        <v>155</v>
      </c>
      <c r="AL36" s="214">
        <v>0</v>
      </c>
    </row>
    <row r="37" spans="1:38" x14ac:dyDescent="0.25">
      <c r="A37" s="214" t="s">
        <v>218</v>
      </c>
      <c r="B37" s="214">
        <v>0</v>
      </c>
      <c r="C37" s="214">
        <v>0</v>
      </c>
      <c r="D37" s="214">
        <v>0</v>
      </c>
      <c r="E37" s="214">
        <v>572.5</v>
      </c>
      <c r="F37" s="214">
        <v>662.5</v>
      </c>
      <c r="G37" s="214">
        <v>757.5</v>
      </c>
      <c r="H37" s="214">
        <v>820</v>
      </c>
      <c r="I37" s="214">
        <v>820</v>
      </c>
      <c r="J37" s="214">
        <v>760</v>
      </c>
      <c r="K37" s="214">
        <v>697.5</v>
      </c>
      <c r="L37" s="214">
        <v>697.5</v>
      </c>
      <c r="M37" s="214">
        <v>600</v>
      </c>
      <c r="N37" s="214">
        <v>572.5</v>
      </c>
      <c r="O37" s="214">
        <v>534.9</v>
      </c>
      <c r="P37" s="214">
        <v>510</v>
      </c>
      <c r="Q37" s="214">
        <v>457.5</v>
      </c>
      <c r="R37" s="214">
        <v>255</v>
      </c>
      <c r="S37" s="214">
        <v>0</v>
      </c>
      <c r="T37" s="214">
        <v>0</v>
      </c>
      <c r="U37" s="214">
        <v>480</v>
      </c>
      <c r="V37" s="214">
        <v>605</v>
      </c>
      <c r="W37" s="214">
        <v>670.5</v>
      </c>
      <c r="X37" s="214">
        <v>0</v>
      </c>
      <c r="Y37" s="214">
        <v>0</v>
      </c>
      <c r="Z37" s="214">
        <v>480</v>
      </c>
      <c r="AA37" s="214">
        <v>735</v>
      </c>
      <c r="AB37" s="214">
        <v>750</v>
      </c>
      <c r="AC37" s="214">
        <v>717.5</v>
      </c>
      <c r="AD37" s="214">
        <v>582.5</v>
      </c>
      <c r="AE37" s="214">
        <v>566.5</v>
      </c>
      <c r="AF37" s="214">
        <v>533</v>
      </c>
      <c r="AG37" s="214">
        <v>467.5</v>
      </c>
      <c r="AH37" s="214">
        <v>452.5</v>
      </c>
      <c r="AI37" s="214">
        <v>452.5</v>
      </c>
      <c r="AJ37" s="214">
        <v>395</v>
      </c>
      <c r="AK37" s="214">
        <v>370</v>
      </c>
      <c r="AL37" s="214">
        <v>0</v>
      </c>
    </row>
    <row r="38" spans="1:38" x14ac:dyDescent="0.25">
      <c r="A38" s="214" t="s">
        <v>219</v>
      </c>
      <c r="B38" s="214">
        <v>0</v>
      </c>
      <c r="C38" s="214">
        <v>0</v>
      </c>
      <c r="D38" s="214">
        <v>0</v>
      </c>
      <c r="E38" s="214">
        <v>290.5</v>
      </c>
      <c r="F38" s="214">
        <v>325</v>
      </c>
      <c r="G38" s="214">
        <v>325</v>
      </c>
      <c r="H38" s="214">
        <v>352.5</v>
      </c>
      <c r="I38" s="214">
        <v>370</v>
      </c>
      <c r="J38" s="214">
        <v>337.5</v>
      </c>
      <c r="K38" s="214">
        <v>337.5</v>
      </c>
      <c r="L38" s="214">
        <v>317.5</v>
      </c>
      <c r="M38" s="214">
        <v>305</v>
      </c>
      <c r="N38" s="214">
        <v>222.5</v>
      </c>
      <c r="O38" s="214">
        <v>220</v>
      </c>
      <c r="P38" s="214">
        <v>197.5</v>
      </c>
      <c r="Q38" s="214">
        <v>160</v>
      </c>
      <c r="R38" s="214">
        <v>160</v>
      </c>
      <c r="S38" s="214">
        <v>160</v>
      </c>
      <c r="T38" s="214">
        <v>0</v>
      </c>
      <c r="U38" s="214">
        <v>207.5</v>
      </c>
      <c r="V38" s="214">
        <v>240</v>
      </c>
      <c r="W38" s="214">
        <v>260</v>
      </c>
      <c r="X38" s="214">
        <v>0</v>
      </c>
      <c r="Y38" s="214">
        <v>0</v>
      </c>
      <c r="Z38" s="214">
        <v>177.5</v>
      </c>
      <c r="AA38" s="214">
        <v>300.5</v>
      </c>
      <c r="AB38" s="214">
        <v>300.5</v>
      </c>
      <c r="AC38" s="214">
        <v>270</v>
      </c>
      <c r="AD38" s="214">
        <v>260</v>
      </c>
      <c r="AE38" s="214">
        <v>237.5</v>
      </c>
      <c r="AF38" s="214">
        <v>205.5</v>
      </c>
      <c r="AG38" s="214">
        <v>192.5</v>
      </c>
      <c r="AH38" s="214">
        <v>192.5</v>
      </c>
      <c r="AI38" s="214">
        <v>162.5</v>
      </c>
      <c r="AJ38" s="214">
        <v>147.5</v>
      </c>
      <c r="AK38" s="214">
        <v>147.5</v>
      </c>
      <c r="AL38" s="214">
        <v>65</v>
      </c>
    </row>
    <row r="39" spans="1:38" x14ac:dyDescent="0.25">
      <c r="A39" s="214" t="s">
        <v>220</v>
      </c>
      <c r="B39" s="214">
        <v>0</v>
      </c>
      <c r="C39" s="214">
        <v>0</v>
      </c>
      <c r="D39" s="214">
        <v>0</v>
      </c>
      <c r="E39" s="214">
        <v>160</v>
      </c>
      <c r="F39" s="214">
        <v>200</v>
      </c>
      <c r="G39" s="214">
        <v>215</v>
      </c>
      <c r="H39" s="214">
        <v>300</v>
      </c>
      <c r="I39" s="214">
        <v>300</v>
      </c>
      <c r="J39" s="214">
        <v>250</v>
      </c>
      <c r="K39" s="214">
        <v>242.5</v>
      </c>
      <c r="L39" s="214">
        <v>212.5</v>
      </c>
      <c r="M39" s="214">
        <v>197.5</v>
      </c>
      <c r="N39" s="214">
        <v>173.5</v>
      </c>
      <c r="O39" s="214">
        <v>152.5</v>
      </c>
      <c r="P39" s="214">
        <v>147.5</v>
      </c>
      <c r="Q39" s="214">
        <v>125</v>
      </c>
      <c r="R39" s="214">
        <v>107.5</v>
      </c>
      <c r="S39" s="214">
        <v>90</v>
      </c>
      <c r="T39" s="214">
        <v>0</v>
      </c>
      <c r="U39" s="214">
        <v>137.5</v>
      </c>
      <c r="V39" s="214">
        <v>175</v>
      </c>
      <c r="W39" s="214">
        <v>177.5</v>
      </c>
      <c r="X39" s="214">
        <v>0</v>
      </c>
      <c r="Y39" s="214">
        <v>0</v>
      </c>
      <c r="Z39" s="214">
        <v>97.5</v>
      </c>
      <c r="AA39" s="214">
        <v>195</v>
      </c>
      <c r="AB39" s="214">
        <v>201.5</v>
      </c>
      <c r="AC39" s="214">
        <v>187.5</v>
      </c>
      <c r="AD39" s="214">
        <v>180</v>
      </c>
      <c r="AE39" s="214">
        <v>180</v>
      </c>
      <c r="AF39" s="214">
        <v>155</v>
      </c>
      <c r="AG39" s="214">
        <v>140.5</v>
      </c>
      <c r="AH39" s="214">
        <v>133</v>
      </c>
      <c r="AI39" s="214">
        <v>115</v>
      </c>
      <c r="AJ39" s="214">
        <v>91</v>
      </c>
      <c r="AK39" s="214">
        <v>82.5</v>
      </c>
      <c r="AL39" s="214">
        <v>80</v>
      </c>
    </row>
    <row r="40" spans="1:38" x14ac:dyDescent="0.25">
      <c r="A40" s="214" t="s">
        <v>221</v>
      </c>
      <c r="B40" s="214">
        <v>0</v>
      </c>
      <c r="C40" s="214">
        <v>0</v>
      </c>
      <c r="D40" s="214">
        <v>0</v>
      </c>
      <c r="E40" s="214">
        <v>277.5</v>
      </c>
      <c r="F40" s="214">
        <v>310</v>
      </c>
      <c r="G40" s="214">
        <v>312.5</v>
      </c>
      <c r="H40" s="214">
        <v>327.5</v>
      </c>
      <c r="I40" s="214">
        <v>337.5</v>
      </c>
      <c r="J40" s="214">
        <v>332.5</v>
      </c>
      <c r="K40" s="214">
        <v>320</v>
      </c>
      <c r="L40" s="214">
        <v>319.89999999999998</v>
      </c>
      <c r="M40" s="214">
        <v>307.5</v>
      </c>
      <c r="N40" s="214">
        <v>255</v>
      </c>
      <c r="O40" s="214">
        <v>244.9</v>
      </c>
      <c r="P40" s="214">
        <v>230</v>
      </c>
      <c r="Q40" s="214">
        <v>192.5</v>
      </c>
      <c r="R40" s="214">
        <v>190</v>
      </c>
      <c r="S40" s="214">
        <v>175</v>
      </c>
      <c r="T40" s="214">
        <v>0</v>
      </c>
      <c r="U40" s="214">
        <v>227.5</v>
      </c>
      <c r="V40" s="214">
        <v>282.5</v>
      </c>
      <c r="W40" s="214">
        <v>317.5</v>
      </c>
      <c r="X40" s="214">
        <v>0</v>
      </c>
      <c r="Y40" s="214">
        <v>0</v>
      </c>
      <c r="Z40" s="214">
        <v>180</v>
      </c>
      <c r="AA40" s="214">
        <v>320.5</v>
      </c>
      <c r="AB40" s="214">
        <v>340</v>
      </c>
      <c r="AC40" s="214">
        <v>290</v>
      </c>
      <c r="AD40" s="214">
        <v>287.5</v>
      </c>
      <c r="AE40" s="214">
        <v>285</v>
      </c>
      <c r="AF40" s="214">
        <v>277.5</v>
      </c>
      <c r="AG40" s="214">
        <v>240</v>
      </c>
      <c r="AH40" s="214">
        <v>240</v>
      </c>
      <c r="AI40" s="214">
        <v>213.5</v>
      </c>
      <c r="AJ40" s="214">
        <v>185</v>
      </c>
      <c r="AK40" s="214">
        <v>182.5</v>
      </c>
      <c r="AL40" s="214">
        <v>117.5</v>
      </c>
    </row>
    <row r="41" spans="1:38" x14ac:dyDescent="0.25">
      <c r="A41" s="214" t="s">
        <v>222</v>
      </c>
      <c r="B41" s="214">
        <v>0</v>
      </c>
      <c r="C41" s="214">
        <v>0</v>
      </c>
      <c r="D41" s="214">
        <v>0</v>
      </c>
      <c r="E41" s="214">
        <v>728</v>
      </c>
      <c r="F41" s="214">
        <v>817.5</v>
      </c>
      <c r="G41" s="214">
        <v>817.5</v>
      </c>
      <c r="H41" s="214">
        <v>877.5</v>
      </c>
      <c r="I41" s="214">
        <v>907.5</v>
      </c>
      <c r="J41" s="214">
        <v>862.5</v>
      </c>
      <c r="K41" s="214">
        <v>862.5</v>
      </c>
      <c r="L41" s="214">
        <v>772.5</v>
      </c>
      <c r="M41" s="214">
        <v>760</v>
      </c>
      <c r="N41" s="214">
        <v>600</v>
      </c>
      <c r="O41" s="214">
        <v>557.5</v>
      </c>
      <c r="P41" s="214">
        <v>560</v>
      </c>
      <c r="Q41" s="214">
        <v>457.5</v>
      </c>
      <c r="R41" s="214">
        <v>440</v>
      </c>
      <c r="S41" s="214">
        <v>420</v>
      </c>
      <c r="T41" s="214">
        <v>0</v>
      </c>
      <c r="U41" s="214">
        <v>535</v>
      </c>
      <c r="V41" s="214">
        <v>645</v>
      </c>
      <c r="W41" s="214">
        <v>740</v>
      </c>
      <c r="X41" s="214">
        <v>0</v>
      </c>
      <c r="Y41" s="214">
        <v>0</v>
      </c>
      <c r="Z41" s="214">
        <v>455</v>
      </c>
      <c r="AA41" s="214">
        <v>810</v>
      </c>
      <c r="AB41" s="214">
        <v>813</v>
      </c>
      <c r="AC41" s="214">
        <v>707.5</v>
      </c>
      <c r="AD41" s="214">
        <v>685</v>
      </c>
      <c r="AE41" s="214">
        <v>677.5</v>
      </c>
      <c r="AF41" s="214">
        <v>602.5</v>
      </c>
      <c r="AG41" s="214">
        <v>532.5</v>
      </c>
      <c r="AH41" s="214">
        <v>532.5</v>
      </c>
      <c r="AI41" s="214">
        <v>491</v>
      </c>
      <c r="AJ41" s="214">
        <v>410</v>
      </c>
      <c r="AK41" s="214">
        <v>410</v>
      </c>
      <c r="AL41" s="214">
        <v>242.5</v>
      </c>
    </row>
    <row r="42" spans="1:38" x14ac:dyDescent="0.25">
      <c r="A42" s="214" t="s">
        <v>223</v>
      </c>
      <c r="B42" s="214">
        <v>0</v>
      </c>
      <c r="C42" s="214">
        <v>40</v>
      </c>
      <c r="D42" s="214">
        <v>0</v>
      </c>
      <c r="E42" s="214">
        <v>250</v>
      </c>
      <c r="F42" s="214">
        <v>317.5</v>
      </c>
      <c r="G42" s="214">
        <v>342.5</v>
      </c>
      <c r="H42" s="214">
        <v>375</v>
      </c>
      <c r="I42" s="214">
        <v>375</v>
      </c>
      <c r="J42" s="214">
        <v>347.5</v>
      </c>
      <c r="K42" s="214">
        <v>347.5</v>
      </c>
      <c r="L42" s="214">
        <v>347.5</v>
      </c>
      <c r="M42" s="214">
        <v>325</v>
      </c>
      <c r="N42" s="214">
        <v>280</v>
      </c>
      <c r="O42" s="214">
        <v>222.5</v>
      </c>
      <c r="P42" s="214">
        <v>200</v>
      </c>
      <c r="Q42" s="214">
        <v>170</v>
      </c>
      <c r="R42" s="214">
        <v>150</v>
      </c>
      <c r="S42" s="214">
        <v>65</v>
      </c>
      <c r="T42" s="214">
        <v>0</v>
      </c>
      <c r="U42" s="214">
        <v>220</v>
      </c>
      <c r="V42" s="214">
        <v>263.5</v>
      </c>
      <c r="W42" s="214">
        <v>290</v>
      </c>
      <c r="X42" s="214">
        <v>0</v>
      </c>
      <c r="Y42" s="214">
        <v>30</v>
      </c>
      <c r="Z42" s="214">
        <v>170</v>
      </c>
      <c r="AA42" s="214">
        <v>327.5</v>
      </c>
      <c r="AB42" s="214">
        <v>327.5</v>
      </c>
      <c r="AC42" s="214">
        <v>325.5</v>
      </c>
      <c r="AD42" s="214">
        <v>325.5</v>
      </c>
      <c r="AE42" s="214">
        <v>325.5</v>
      </c>
      <c r="AF42" s="214">
        <v>325.5</v>
      </c>
      <c r="AG42" s="214">
        <v>208</v>
      </c>
      <c r="AH42" s="214">
        <v>208</v>
      </c>
      <c r="AI42" s="214">
        <v>180</v>
      </c>
      <c r="AJ42" s="214">
        <v>145</v>
      </c>
      <c r="AK42" s="214">
        <v>145</v>
      </c>
      <c r="AL42" s="214">
        <v>0</v>
      </c>
    </row>
    <row r="43" spans="1:38" x14ac:dyDescent="0.25">
      <c r="A43" s="214" t="s">
        <v>224</v>
      </c>
      <c r="B43" s="214">
        <v>0</v>
      </c>
      <c r="C43" s="214">
        <v>42.5</v>
      </c>
      <c r="D43" s="214">
        <v>0</v>
      </c>
      <c r="E43" s="214">
        <v>170</v>
      </c>
      <c r="F43" s="214">
        <v>207.5</v>
      </c>
      <c r="G43" s="214">
        <v>232.5</v>
      </c>
      <c r="H43" s="214">
        <v>260</v>
      </c>
      <c r="I43" s="214">
        <v>267.5</v>
      </c>
      <c r="J43" s="214">
        <v>262.5</v>
      </c>
      <c r="K43" s="214">
        <v>260</v>
      </c>
      <c r="L43" s="214">
        <v>230</v>
      </c>
      <c r="M43" s="214">
        <v>217.5</v>
      </c>
      <c r="N43" s="214">
        <v>182.5</v>
      </c>
      <c r="O43" s="214">
        <v>148</v>
      </c>
      <c r="P43" s="214">
        <v>137.4</v>
      </c>
      <c r="Q43" s="214">
        <v>115</v>
      </c>
      <c r="R43" s="214">
        <v>102.1</v>
      </c>
      <c r="S43" s="214">
        <v>85</v>
      </c>
      <c r="T43" s="214">
        <v>0</v>
      </c>
      <c r="U43" s="214">
        <v>147.5</v>
      </c>
      <c r="V43" s="214">
        <v>182.5</v>
      </c>
      <c r="W43" s="214">
        <v>182.5</v>
      </c>
      <c r="X43" s="214">
        <v>0</v>
      </c>
      <c r="Y43" s="214">
        <v>32.5</v>
      </c>
      <c r="Z43" s="214">
        <v>120</v>
      </c>
      <c r="AA43" s="214">
        <v>200</v>
      </c>
      <c r="AB43" s="214">
        <v>230</v>
      </c>
      <c r="AC43" s="214">
        <v>230</v>
      </c>
      <c r="AD43" s="214">
        <v>230</v>
      </c>
      <c r="AE43" s="214">
        <v>215</v>
      </c>
      <c r="AF43" s="214">
        <v>210</v>
      </c>
      <c r="AG43" s="214">
        <v>167.5</v>
      </c>
      <c r="AH43" s="214">
        <v>125</v>
      </c>
      <c r="AI43" s="214">
        <v>115.5</v>
      </c>
      <c r="AJ43" s="214">
        <v>115</v>
      </c>
      <c r="AK43" s="214">
        <v>87.5</v>
      </c>
      <c r="AL43" s="214">
        <v>0</v>
      </c>
    </row>
    <row r="44" spans="1:38" x14ac:dyDescent="0.25">
      <c r="A44" s="214" t="s">
        <v>225</v>
      </c>
      <c r="B44" s="214">
        <v>0</v>
      </c>
      <c r="C44" s="214">
        <v>92.5</v>
      </c>
      <c r="D44" s="214">
        <v>0</v>
      </c>
      <c r="E44" s="214">
        <v>257.5</v>
      </c>
      <c r="F44" s="214">
        <v>322.5</v>
      </c>
      <c r="G44" s="214">
        <v>350</v>
      </c>
      <c r="H44" s="214">
        <v>377.5</v>
      </c>
      <c r="I44" s="214">
        <v>377.5</v>
      </c>
      <c r="J44" s="214">
        <v>343</v>
      </c>
      <c r="K44" s="214">
        <v>332.5</v>
      </c>
      <c r="L44" s="214">
        <v>328</v>
      </c>
      <c r="M44" s="214">
        <v>325</v>
      </c>
      <c r="N44" s="214">
        <v>265</v>
      </c>
      <c r="O44" s="214">
        <v>260</v>
      </c>
      <c r="P44" s="214">
        <v>245</v>
      </c>
      <c r="Q44" s="214">
        <v>199.9</v>
      </c>
      <c r="R44" s="214">
        <v>172.5</v>
      </c>
      <c r="S44" s="214">
        <v>125</v>
      </c>
      <c r="T44" s="214">
        <v>0</v>
      </c>
      <c r="U44" s="214">
        <v>237.5</v>
      </c>
      <c r="V44" s="214">
        <v>317.5</v>
      </c>
      <c r="W44" s="214">
        <v>327.5</v>
      </c>
      <c r="X44" s="214">
        <v>0</v>
      </c>
      <c r="Y44" s="214">
        <v>77.5</v>
      </c>
      <c r="Z44" s="214">
        <v>170</v>
      </c>
      <c r="AA44" s="214">
        <v>352.5</v>
      </c>
      <c r="AB44" s="214">
        <v>352.5</v>
      </c>
      <c r="AC44" s="214">
        <v>320</v>
      </c>
      <c r="AD44" s="214">
        <v>310</v>
      </c>
      <c r="AE44" s="214">
        <v>310</v>
      </c>
      <c r="AF44" s="214">
        <v>310</v>
      </c>
      <c r="AG44" s="214">
        <v>263.10000000000002</v>
      </c>
      <c r="AH44" s="214">
        <v>263.10000000000002</v>
      </c>
      <c r="AI44" s="214">
        <v>220</v>
      </c>
      <c r="AJ44" s="214">
        <v>180.5</v>
      </c>
      <c r="AK44" s="214">
        <v>180.5</v>
      </c>
      <c r="AL44" s="214">
        <v>0</v>
      </c>
    </row>
    <row r="45" spans="1:38" x14ac:dyDescent="0.25">
      <c r="A45" s="214" t="s">
        <v>226</v>
      </c>
      <c r="B45" s="214">
        <v>0</v>
      </c>
      <c r="C45" s="214">
        <v>175</v>
      </c>
      <c r="D45" s="214">
        <v>0</v>
      </c>
      <c r="E45" s="214">
        <v>617.5</v>
      </c>
      <c r="F45" s="214">
        <v>800</v>
      </c>
      <c r="G45" s="214">
        <v>900</v>
      </c>
      <c r="H45" s="214">
        <v>972.5</v>
      </c>
      <c r="I45" s="214">
        <v>972.5</v>
      </c>
      <c r="J45" s="214">
        <v>900</v>
      </c>
      <c r="K45" s="214">
        <v>900</v>
      </c>
      <c r="L45" s="214">
        <v>900</v>
      </c>
      <c r="M45" s="214">
        <v>830</v>
      </c>
      <c r="N45" s="214">
        <v>677.5</v>
      </c>
      <c r="O45" s="214">
        <v>607.5</v>
      </c>
      <c r="P45" s="214">
        <v>547.5</v>
      </c>
      <c r="Q45" s="214">
        <v>460</v>
      </c>
      <c r="R45" s="214">
        <v>417.5</v>
      </c>
      <c r="S45" s="214">
        <v>275</v>
      </c>
      <c r="T45" s="214">
        <v>0</v>
      </c>
      <c r="U45" s="214">
        <v>567.5</v>
      </c>
      <c r="V45" s="214">
        <v>735</v>
      </c>
      <c r="W45" s="214">
        <v>792.5</v>
      </c>
      <c r="X45" s="214">
        <v>0</v>
      </c>
      <c r="Y45" s="214">
        <v>140</v>
      </c>
      <c r="Z45" s="214">
        <v>460</v>
      </c>
      <c r="AA45" s="214">
        <v>840</v>
      </c>
      <c r="AB45" s="214">
        <v>840</v>
      </c>
      <c r="AC45" s="214">
        <v>830</v>
      </c>
      <c r="AD45" s="214">
        <v>830</v>
      </c>
      <c r="AE45" s="214">
        <v>830</v>
      </c>
      <c r="AF45" s="214">
        <v>830</v>
      </c>
      <c r="AG45" s="214">
        <v>612.5</v>
      </c>
      <c r="AH45" s="214">
        <v>555.5</v>
      </c>
      <c r="AI45" s="214">
        <v>510</v>
      </c>
      <c r="AJ45" s="214">
        <v>417.5</v>
      </c>
      <c r="AK45" s="214">
        <v>405</v>
      </c>
      <c r="AL45" s="214">
        <v>0</v>
      </c>
    </row>
    <row r="46" spans="1:38" x14ac:dyDescent="0.25">
      <c r="A46" s="214" t="s">
        <v>227</v>
      </c>
      <c r="B46" s="214">
        <v>0</v>
      </c>
      <c r="C46" s="214">
        <v>0</v>
      </c>
      <c r="D46" s="214">
        <v>0</v>
      </c>
      <c r="E46" s="214">
        <v>277.5</v>
      </c>
      <c r="F46" s="214">
        <v>330</v>
      </c>
      <c r="G46" s="214">
        <v>337.5</v>
      </c>
      <c r="H46" s="214">
        <v>355</v>
      </c>
      <c r="I46" s="214">
        <v>382.5</v>
      </c>
      <c r="J46" s="214">
        <v>355</v>
      </c>
      <c r="K46" s="214">
        <v>355</v>
      </c>
      <c r="L46" s="214">
        <v>345</v>
      </c>
      <c r="M46" s="214">
        <v>320</v>
      </c>
      <c r="N46" s="214">
        <v>295</v>
      </c>
      <c r="O46" s="214">
        <v>250</v>
      </c>
      <c r="P46" s="214">
        <v>217.5</v>
      </c>
      <c r="Q46" s="214">
        <v>170</v>
      </c>
      <c r="R46" s="214">
        <v>115</v>
      </c>
      <c r="S46" s="214">
        <v>0</v>
      </c>
      <c r="T46" s="214">
        <v>0</v>
      </c>
      <c r="U46" s="214">
        <v>240</v>
      </c>
      <c r="V46" s="214">
        <v>280</v>
      </c>
      <c r="W46" s="214">
        <v>285</v>
      </c>
      <c r="X46" s="214">
        <v>0</v>
      </c>
      <c r="Y46" s="214">
        <v>0</v>
      </c>
      <c r="Z46" s="214">
        <v>140</v>
      </c>
      <c r="AA46" s="214">
        <v>312.5</v>
      </c>
      <c r="AB46" s="214">
        <v>331.5</v>
      </c>
      <c r="AC46" s="214">
        <v>292.5</v>
      </c>
      <c r="AD46" s="214">
        <v>275</v>
      </c>
      <c r="AE46" s="214">
        <v>275</v>
      </c>
      <c r="AF46" s="214">
        <v>275</v>
      </c>
      <c r="AG46" s="214">
        <v>235</v>
      </c>
      <c r="AH46" s="214">
        <v>195</v>
      </c>
      <c r="AI46" s="214">
        <v>180</v>
      </c>
      <c r="AJ46" s="214">
        <v>127.5</v>
      </c>
      <c r="AK46" s="214">
        <v>105</v>
      </c>
      <c r="AL46" s="214">
        <v>0</v>
      </c>
    </row>
    <row r="47" spans="1:38" x14ac:dyDescent="0.25">
      <c r="A47" s="214" t="s">
        <v>228</v>
      </c>
      <c r="B47" s="214">
        <v>0</v>
      </c>
      <c r="C47" s="214">
        <v>0</v>
      </c>
      <c r="D47" s="214">
        <v>0</v>
      </c>
      <c r="E47" s="214">
        <v>182.5</v>
      </c>
      <c r="F47" s="214">
        <v>207.5</v>
      </c>
      <c r="G47" s="214">
        <v>242.5</v>
      </c>
      <c r="H47" s="214">
        <v>285</v>
      </c>
      <c r="I47" s="214">
        <v>323.5</v>
      </c>
      <c r="J47" s="214">
        <v>243</v>
      </c>
      <c r="K47" s="214">
        <v>243</v>
      </c>
      <c r="L47" s="214">
        <v>242.5</v>
      </c>
      <c r="M47" s="214">
        <v>242.5</v>
      </c>
      <c r="N47" s="214">
        <v>227.5</v>
      </c>
      <c r="O47" s="214">
        <v>188.2</v>
      </c>
      <c r="P47" s="214">
        <v>175</v>
      </c>
      <c r="Q47" s="214">
        <v>147.5</v>
      </c>
      <c r="R47" s="214">
        <v>100</v>
      </c>
      <c r="S47" s="214">
        <v>0</v>
      </c>
      <c r="T47" s="214">
        <v>0</v>
      </c>
      <c r="U47" s="214">
        <v>147.5</v>
      </c>
      <c r="V47" s="214">
        <v>172.5</v>
      </c>
      <c r="W47" s="214">
        <v>187.5</v>
      </c>
      <c r="X47" s="214">
        <v>0</v>
      </c>
      <c r="Y47" s="214">
        <v>0</v>
      </c>
      <c r="Z47" s="214">
        <v>110</v>
      </c>
      <c r="AA47" s="214">
        <v>215</v>
      </c>
      <c r="AB47" s="214">
        <v>238.5</v>
      </c>
      <c r="AC47" s="214">
        <v>232.5</v>
      </c>
      <c r="AD47" s="214">
        <v>232.5</v>
      </c>
      <c r="AE47" s="214">
        <v>185</v>
      </c>
      <c r="AF47" s="214">
        <v>170</v>
      </c>
      <c r="AG47" s="214">
        <v>158</v>
      </c>
      <c r="AH47" s="214">
        <v>153</v>
      </c>
      <c r="AI47" s="214">
        <v>120</v>
      </c>
      <c r="AJ47" s="214">
        <v>107.5</v>
      </c>
      <c r="AK47" s="214">
        <v>102.5</v>
      </c>
      <c r="AL47" s="214">
        <v>0</v>
      </c>
    </row>
    <row r="48" spans="1:38" x14ac:dyDescent="0.25">
      <c r="A48" s="214" t="s">
        <v>229</v>
      </c>
      <c r="B48" s="214">
        <v>0</v>
      </c>
      <c r="C48" s="214">
        <v>0</v>
      </c>
      <c r="D48" s="214">
        <v>0</v>
      </c>
      <c r="E48" s="214">
        <v>262.5</v>
      </c>
      <c r="F48" s="214">
        <v>300</v>
      </c>
      <c r="G48" s="214">
        <v>322.10000000000002</v>
      </c>
      <c r="H48" s="214">
        <v>342.5</v>
      </c>
      <c r="I48" s="214">
        <v>377.5</v>
      </c>
      <c r="J48" s="214">
        <v>335</v>
      </c>
      <c r="K48" s="214">
        <v>332.5</v>
      </c>
      <c r="L48" s="214">
        <v>315</v>
      </c>
      <c r="M48" s="214">
        <v>315</v>
      </c>
      <c r="N48" s="214">
        <v>315</v>
      </c>
      <c r="O48" s="214">
        <v>260</v>
      </c>
      <c r="P48" s="214">
        <v>253</v>
      </c>
      <c r="Q48" s="214">
        <v>220</v>
      </c>
      <c r="R48" s="214">
        <v>147.5</v>
      </c>
      <c r="S48" s="214">
        <v>0</v>
      </c>
      <c r="T48" s="214">
        <v>0</v>
      </c>
      <c r="U48" s="214">
        <v>245</v>
      </c>
      <c r="V48" s="214">
        <v>287.5</v>
      </c>
      <c r="W48" s="214">
        <v>325</v>
      </c>
      <c r="X48" s="214">
        <v>0</v>
      </c>
      <c r="Y48" s="214">
        <v>0</v>
      </c>
      <c r="Z48" s="214">
        <v>157.5</v>
      </c>
      <c r="AA48" s="214">
        <v>347.5</v>
      </c>
      <c r="AB48" s="214">
        <v>367.5</v>
      </c>
      <c r="AC48" s="214">
        <v>315</v>
      </c>
      <c r="AD48" s="214">
        <v>295</v>
      </c>
      <c r="AE48" s="214">
        <v>295</v>
      </c>
      <c r="AF48" s="214">
        <v>295</v>
      </c>
      <c r="AG48" s="214">
        <v>277.5</v>
      </c>
      <c r="AH48" s="214">
        <v>230.5</v>
      </c>
      <c r="AI48" s="214">
        <v>210</v>
      </c>
      <c r="AJ48" s="214">
        <v>200</v>
      </c>
      <c r="AK48" s="214">
        <v>152.5</v>
      </c>
      <c r="AL48" s="214">
        <v>0</v>
      </c>
    </row>
    <row r="49" spans="1:38" x14ac:dyDescent="0.25">
      <c r="A49" s="214" t="s">
        <v>230</v>
      </c>
      <c r="B49" s="214">
        <v>0</v>
      </c>
      <c r="C49" s="214">
        <v>0</v>
      </c>
      <c r="D49" s="214">
        <v>0</v>
      </c>
      <c r="E49" s="214">
        <v>682.5</v>
      </c>
      <c r="F49" s="214">
        <v>765</v>
      </c>
      <c r="G49" s="214">
        <v>862.5</v>
      </c>
      <c r="H49" s="214">
        <v>907.5</v>
      </c>
      <c r="I49" s="214">
        <v>986</v>
      </c>
      <c r="J49" s="214">
        <v>915</v>
      </c>
      <c r="K49" s="214">
        <v>915</v>
      </c>
      <c r="L49" s="214">
        <v>836</v>
      </c>
      <c r="M49" s="214">
        <v>822.5</v>
      </c>
      <c r="N49" s="214">
        <v>770</v>
      </c>
      <c r="O49" s="214">
        <v>630.5</v>
      </c>
      <c r="P49" s="214">
        <v>612.5</v>
      </c>
      <c r="Q49" s="214">
        <v>502.5</v>
      </c>
      <c r="R49" s="214">
        <v>362.5</v>
      </c>
      <c r="S49" s="214">
        <v>0</v>
      </c>
      <c r="T49" s="214">
        <v>0</v>
      </c>
      <c r="U49" s="214">
        <v>632.5</v>
      </c>
      <c r="V49" s="214">
        <v>735</v>
      </c>
      <c r="W49" s="214">
        <v>795</v>
      </c>
      <c r="X49" s="214">
        <v>0</v>
      </c>
      <c r="Y49" s="214">
        <v>0</v>
      </c>
      <c r="Z49" s="214">
        <v>407.5</v>
      </c>
      <c r="AA49" s="214">
        <v>842.5</v>
      </c>
      <c r="AB49" s="214">
        <v>890</v>
      </c>
      <c r="AC49" s="214">
        <v>773</v>
      </c>
      <c r="AD49" s="214">
        <v>745</v>
      </c>
      <c r="AE49" s="214">
        <v>715</v>
      </c>
      <c r="AF49" s="214">
        <v>712.5</v>
      </c>
      <c r="AG49" s="214">
        <v>600</v>
      </c>
      <c r="AH49" s="214">
        <v>578.5</v>
      </c>
      <c r="AI49" s="214">
        <v>505</v>
      </c>
      <c r="AJ49" s="214">
        <v>435</v>
      </c>
      <c r="AK49" s="214">
        <v>360</v>
      </c>
      <c r="AL49" s="214">
        <v>0</v>
      </c>
    </row>
    <row r="50" spans="1:38" x14ac:dyDescent="0.25">
      <c r="A50" s="214" t="s">
        <v>231</v>
      </c>
      <c r="B50" s="214">
        <v>0</v>
      </c>
      <c r="C50" s="214">
        <v>0</v>
      </c>
      <c r="D50" s="214">
        <v>0</v>
      </c>
      <c r="E50" s="214">
        <v>282.5</v>
      </c>
      <c r="F50" s="214">
        <v>360</v>
      </c>
      <c r="G50" s="214">
        <v>365.5</v>
      </c>
      <c r="H50" s="214">
        <v>405</v>
      </c>
      <c r="I50" s="214">
        <v>413</v>
      </c>
      <c r="J50" s="214">
        <v>413</v>
      </c>
      <c r="K50" s="214">
        <v>412.5</v>
      </c>
      <c r="L50" s="214">
        <v>350</v>
      </c>
      <c r="M50" s="214">
        <v>317.5</v>
      </c>
      <c r="N50" s="214">
        <v>267.5</v>
      </c>
      <c r="O50" s="214">
        <v>247.5</v>
      </c>
      <c r="P50" s="214">
        <v>205</v>
      </c>
      <c r="Q50" s="214">
        <v>0</v>
      </c>
      <c r="R50" s="214">
        <v>0</v>
      </c>
      <c r="S50" s="214">
        <v>0</v>
      </c>
      <c r="T50" s="214">
        <v>0</v>
      </c>
      <c r="U50" s="214">
        <v>230</v>
      </c>
      <c r="V50" s="214">
        <v>280</v>
      </c>
      <c r="W50" s="214">
        <v>317.5</v>
      </c>
      <c r="X50" s="214">
        <v>0</v>
      </c>
      <c r="Y50" s="214">
        <v>0</v>
      </c>
      <c r="Z50" s="214">
        <v>150</v>
      </c>
      <c r="AA50" s="214">
        <v>372.5</v>
      </c>
      <c r="AB50" s="214">
        <v>386</v>
      </c>
      <c r="AC50" s="214">
        <v>378.5</v>
      </c>
      <c r="AD50" s="214">
        <v>378.5</v>
      </c>
      <c r="AE50" s="214">
        <v>378.5</v>
      </c>
      <c r="AF50" s="214">
        <v>275</v>
      </c>
      <c r="AG50" s="214">
        <v>232.5</v>
      </c>
      <c r="AH50" s="214">
        <v>232.5</v>
      </c>
      <c r="AI50" s="214">
        <v>187.5</v>
      </c>
      <c r="AJ50" s="214">
        <v>92.5</v>
      </c>
      <c r="AK50" s="214">
        <v>0</v>
      </c>
      <c r="AL50" s="214">
        <v>0</v>
      </c>
    </row>
    <row r="51" spans="1:38" x14ac:dyDescent="0.25">
      <c r="A51" s="214" t="s">
        <v>232</v>
      </c>
      <c r="B51" s="214">
        <v>0</v>
      </c>
      <c r="C51" s="214">
        <v>0</v>
      </c>
      <c r="D51" s="214">
        <v>0</v>
      </c>
      <c r="E51" s="214">
        <v>162.5</v>
      </c>
      <c r="F51" s="214">
        <v>245</v>
      </c>
      <c r="G51" s="214">
        <v>282.5</v>
      </c>
      <c r="H51" s="214">
        <v>295</v>
      </c>
      <c r="I51" s="214">
        <v>320</v>
      </c>
      <c r="J51" s="214">
        <v>312.5</v>
      </c>
      <c r="K51" s="214">
        <v>262.5</v>
      </c>
      <c r="L51" s="214">
        <v>262.5</v>
      </c>
      <c r="M51" s="214">
        <v>242.5</v>
      </c>
      <c r="N51" s="214">
        <v>195</v>
      </c>
      <c r="O51" s="214">
        <v>187.5</v>
      </c>
      <c r="P51" s="214">
        <v>165</v>
      </c>
      <c r="Q51" s="214">
        <v>0</v>
      </c>
      <c r="R51" s="214">
        <v>0</v>
      </c>
      <c r="S51" s="214">
        <v>0</v>
      </c>
      <c r="T51" s="214">
        <v>0</v>
      </c>
      <c r="U51" s="214">
        <v>145</v>
      </c>
      <c r="V51" s="214">
        <v>182.5</v>
      </c>
      <c r="W51" s="214">
        <v>205</v>
      </c>
      <c r="X51" s="214">
        <v>0</v>
      </c>
      <c r="Y51" s="214">
        <v>0</v>
      </c>
      <c r="Z51" s="214">
        <v>75</v>
      </c>
      <c r="AA51" s="214">
        <v>242.5</v>
      </c>
      <c r="AB51" s="214">
        <v>253</v>
      </c>
      <c r="AC51" s="214">
        <v>220</v>
      </c>
      <c r="AD51" s="214">
        <v>205</v>
      </c>
      <c r="AE51" s="214">
        <v>197.5</v>
      </c>
      <c r="AF51" s="214">
        <v>185</v>
      </c>
      <c r="AG51" s="214">
        <v>175</v>
      </c>
      <c r="AH51" s="214">
        <v>160</v>
      </c>
      <c r="AI51" s="214">
        <v>147.5</v>
      </c>
      <c r="AJ51" s="214">
        <v>110</v>
      </c>
      <c r="AK51" s="214">
        <v>0</v>
      </c>
      <c r="AL51" s="214">
        <v>0</v>
      </c>
    </row>
    <row r="52" spans="1:38" x14ac:dyDescent="0.25">
      <c r="A52" s="214" t="s">
        <v>233</v>
      </c>
      <c r="B52" s="214">
        <v>0</v>
      </c>
      <c r="C52" s="214">
        <v>0</v>
      </c>
      <c r="D52" s="214">
        <v>0</v>
      </c>
      <c r="E52" s="214">
        <v>260</v>
      </c>
      <c r="F52" s="214">
        <v>307.5</v>
      </c>
      <c r="G52" s="214">
        <v>330</v>
      </c>
      <c r="H52" s="214">
        <v>365</v>
      </c>
      <c r="I52" s="214">
        <v>372.5</v>
      </c>
      <c r="J52" s="214">
        <v>355.5</v>
      </c>
      <c r="K52" s="214">
        <v>332.5</v>
      </c>
      <c r="L52" s="214">
        <v>325</v>
      </c>
      <c r="M52" s="214">
        <v>320</v>
      </c>
      <c r="N52" s="214">
        <v>320</v>
      </c>
      <c r="O52" s="214">
        <v>281.5</v>
      </c>
      <c r="P52" s="214">
        <v>260</v>
      </c>
      <c r="Q52" s="214">
        <v>0</v>
      </c>
      <c r="R52" s="214">
        <v>0</v>
      </c>
      <c r="S52" s="214">
        <v>0</v>
      </c>
      <c r="T52" s="214">
        <v>0</v>
      </c>
      <c r="U52" s="214">
        <v>255</v>
      </c>
      <c r="V52" s="214">
        <v>282.5</v>
      </c>
      <c r="W52" s="214">
        <v>306.2</v>
      </c>
      <c r="X52" s="214">
        <v>0</v>
      </c>
      <c r="Y52" s="214">
        <v>0</v>
      </c>
      <c r="Z52" s="214">
        <v>155</v>
      </c>
      <c r="AA52" s="214">
        <v>365</v>
      </c>
      <c r="AB52" s="214">
        <v>372</v>
      </c>
      <c r="AC52" s="214">
        <v>372</v>
      </c>
      <c r="AD52" s="214">
        <v>372</v>
      </c>
      <c r="AE52" s="214">
        <v>342.5</v>
      </c>
      <c r="AF52" s="214">
        <v>292.5</v>
      </c>
      <c r="AG52" s="214">
        <v>280</v>
      </c>
      <c r="AH52" s="214">
        <v>280</v>
      </c>
      <c r="AI52" s="214">
        <v>230</v>
      </c>
      <c r="AJ52" s="214">
        <v>147.5</v>
      </c>
      <c r="AK52" s="214">
        <v>0</v>
      </c>
      <c r="AL52" s="214">
        <v>0</v>
      </c>
    </row>
    <row r="53" spans="1:38" x14ac:dyDescent="0.25">
      <c r="A53" s="214" t="s">
        <v>234</v>
      </c>
      <c r="B53" s="214">
        <v>0</v>
      </c>
      <c r="C53" s="214">
        <v>0</v>
      </c>
      <c r="D53" s="214">
        <v>0</v>
      </c>
      <c r="E53" s="214">
        <v>690</v>
      </c>
      <c r="F53" s="214">
        <v>872.5</v>
      </c>
      <c r="G53" s="214">
        <v>950.5</v>
      </c>
      <c r="H53" s="214">
        <v>1035</v>
      </c>
      <c r="I53" s="214">
        <v>1042.5</v>
      </c>
      <c r="J53" s="214">
        <v>1015.5</v>
      </c>
      <c r="K53" s="214">
        <v>957.5</v>
      </c>
      <c r="L53" s="214">
        <v>945</v>
      </c>
      <c r="M53" s="214">
        <v>822.5</v>
      </c>
      <c r="N53" s="214">
        <v>717.5</v>
      </c>
      <c r="O53" s="214">
        <v>706</v>
      </c>
      <c r="P53" s="214">
        <v>622.5</v>
      </c>
      <c r="Q53" s="214">
        <v>0</v>
      </c>
      <c r="R53" s="214">
        <v>0</v>
      </c>
      <c r="S53" s="214">
        <v>0</v>
      </c>
      <c r="T53" s="214">
        <v>0</v>
      </c>
      <c r="U53" s="214">
        <v>585.5</v>
      </c>
      <c r="V53" s="214">
        <v>732.5</v>
      </c>
      <c r="W53" s="214">
        <v>805</v>
      </c>
      <c r="X53" s="214">
        <v>0</v>
      </c>
      <c r="Y53" s="214">
        <v>0</v>
      </c>
      <c r="Z53" s="214">
        <v>380</v>
      </c>
      <c r="AA53" s="214">
        <v>890</v>
      </c>
      <c r="AB53" s="214">
        <v>978.5</v>
      </c>
      <c r="AC53" s="214">
        <v>944.5</v>
      </c>
      <c r="AD53" s="214">
        <v>944.5</v>
      </c>
      <c r="AE53" s="214">
        <v>895</v>
      </c>
      <c r="AF53" s="214">
        <v>720</v>
      </c>
      <c r="AG53" s="214">
        <v>640</v>
      </c>
      <c r="AH53" s="214">
        <v>640</v>
      </c>
      <c r="AI53" s="214">
        <v>525</v>
      </c>
      <c r="AJ53" s="214">
        <v>335</v>
      </c>
      <c r="AK53" s="214">
        <v>0</v>
      </c>
      <c r="AL53" s="214">
        <v>0</v>
      </c>
    </row>
    <row r="54" spans="1:38" x14ac:dyDescent="0.25">
      <c r="A54" s="214" t="s">
        <v>235</v>
      </c>
      <c r="B54" s="214">
        <v>0</v>
      </c>
      <c r="C54" s="214">
        <v>0</v>
      </c>
      <c r="D54" s="214">
        <v>0</v>
      </c>
      <c r="E54" s="214">
        <v>290</v>
      </c>
      <c r="F54" s="214">
        <v>365</v>
      </c>
      <c r="G54" s="214">
        <v>424.8</v>
      </c>
      <c r="H54" s="214">
        <v>424.8</v>
      </c>
      <c r="I54" s="214">
        <v>505</v>
      </c>
      <c r="J54" s="214">
        <v>430.9</v>
      </c>
      <c r="K54" s="214">
        <v>430.9</v>
      </c>
      <c r="L54" s="214">
        <v>402.5</v>
      </c>
      <c r="M54" s="214">
        <v>320</v>
      </c>
      <c r="N54" s="214">
        <v>310</v>
      </c>
      <c r="O54" s="214">
        <v>272.5</v>
      </c>
      <c r="P54" s="214">
        <v>210</v>
      </c>
      <c r="Q54" s="214">
        <v>92.5</v>
      </c>
      <c r="R54" s="214">
        <v>0</v>
      </c>
      <c r="S54" s="214">
        <v>0</v>
      </c>
      <c r="T54" s="214">
        <v>0</v>
      </c>
      <c r="U54" s="214">
        <v>330</v>
      </c>
      <c r="V54" s="214">
        <v>365.5</v>
      </c>
      <c r="W54" s="214">
        <v>425.5</v>
      </c>
      <c r="X54" s="214">
        <v>0</v>
      </c>
      <c r="Y54" s="214">
        <v>197.5</v>
      </c>
      <c r="Z54" s="214">
        <v>197.5</v>
      </c>
      <c r="AA54" s="214">
        <v>425.5</v>
      </c>
      <c r="AB54" s="214">
        <v>485</v>
      </c>
      <c r="AC54" s="214">
        <v>340</v>
      </c>
      <c r="AD54" s="214">
        <v>337.5</v>
      </c>
      <c r="AE54" s="214">
        <v>330</v>
      </c>
      <c r="AF54" s="214">
        <v>257.5</v>
      </c>
      <c r="AG54" s="214">
        <v>228</v>
      </c>
      <c r="AH54" s="214">
        <v>190</v>
      </c>
      <c r="AI54" s="214">
        <v>182.5</v>
      </c>
      <c r="AJ54" s="214">
        <v>92.5</v>
      </c>
      <c r="AK54" s="214">
        <v>82.5</v>
      </c>
      <c r="AL54" s="214">
        <v>0</v>
      </c>
    </row>
    <row r="55" spans="1:38" x14ac:dyDescent="0.25">
      <c r="A55" s="214" t="s">
        <v>236</v>
      </c>
      <c r="B55" s="214">
        <v>0</v>
      </c>
      <c r="C55" s="214">
        <v>0</v>
      </c>
      <c r="D55" s="214">
        <v>0</v>
      </c>
      <c r="E55" s="214">
        <v>175</v>
      </c>
      <c r="F55" s="214">
        <v>260</v>
      </c>
      <c r="G55" s="214">
        <v>272.5</v>
      </c>
      <c r="H55" s="214">
        <v>350</v>
      </c>
      <c r="I55" s="214">
        <v>410</v>
      </c>
      <c r="J55" s="214">
        <v>350</v>
      </c>
      <c r="K55" s="214">
        <v>297.5</v>
      </c>
      <c r="L55" s="214">
        <v>292.5</v>
      </c>
      <c r="M55" s="214">
        <v>292.5</v>
      </c>
      <c r="N55" s="214">
        <v>235</v>
      </c>
      <c r="O55" s="214">
        <v>195</v>
      </c>
      <c r="P55" s="214">
        <v>155</v>
      </c>
      <c r="Q55" s="214">
        <v>100</v>
      </c>
      <c r="R55" s="214">
        <v>0</v>
      </c>
      <c r="S55" s="214">
        <v>0</v>
      </c>
      <c r="T55" s="214">
        <v>0</v>
      </c>
      <c r="U55" s="214">
        <v>175</v>
      </c>
      <c r="V55" s="214">
        <v>190</v>
      </c>
      <c r="W55" s="214">
        <v>207.5</v>
      </c>
      <c r="X55" s="214">
        <v>0</v>
      </c>
      <c r="Y55" s="214">
        <v>135</v>
      </c>
      <c r="Z55" s="214">
        <v>135</v>
      </c>
      <c r="AA55" s="214">
        <v>235</v>
      </c>
      <c r="AB55" s="214">
        <v>265.5</v>
      </c>
      <c r="AC55" s="214">
        <v>260</v>
      </c>
      <c r="AD55" s="214">
        <v>245</v>
      </c>
      <c r="AE55" s="214">
        <v>232.5</v>
      </c>
      <c r="AF55" s="214">
        <v>190</v>
      </c>
      <c r="AG55" s="214">
        <v>183.7</v>
      </c>
      <c r="AH55" s="214">
        <v>145</v>
      </c>
      <c r="AI55" s="214">
        <v>145</v>
      </c>
      <c r="AJ55" s="214">
        <v>100</v>
      </c>
      <c r="AK55" s="214">
        <v>77.5</v>
      </c>
      <c r="AL55" s="214">
        <v>0</v>
      </c>
    </row>
    <row r="56" spans="1:38" x14ac:dyDescent="0.25">
      <c r="A56" s="214" t="s">
        <v>237</v>
      </c>
      <c r="B56" s="214">
        <v>0</v>
      </c>
      <c r="C56" s="214">
        <v>0</v>
      </c>
      <c r="D56" s="214">
        <v>0</v>
      </c>
      <c r="E56" s="214">
        <v>257.5</v>
      </c>
      <c r="F56" s="214">
        <v>319.8</v>
      </c>
      <c r="G56" s="214">
        <v>317.5</v>
      </c>
      <c r="H56" s="214">
        <v>365</v>
      </c>
      <c r="I56" s="214">
        <v>410</v>
      </c>
      <c r="J56" s="214">
        <v>400</v>
      </c>
      <c r="K56" s="214">
        <v>342.5</v>
      </c>
      <c r="L56" s="214">
        <v>320</v>
      </c>
      <c r="M56" s="214">
        <v>319.89999999999998</v>
      </c>
      <c r="N56" s="214">
        <v>290</v>
      </c>
      <c r="O56" s="214">
        <v>257.5</v>
      </c>
      <c r="P56" s="214">
        <v>190</v>
      </c>
      <c r="Q56" s="214">
        <v>142.5</v>
      </c>
      <c r="R56" s="214">
        <v>0</v>
      </c>
      <c r="S56" s="214">
        <v>0</v>
      </c>
      <c r="T56" s="214">
        <v>0</v>
      </c>
      <c r="U56" s="214">
        <v>267.5</v>
      </c>
      <c r="V56" s="214">
        <v>287.5</v>
      </c>
      <c r="W56" s="214">
        <v>306</v>
      </c>
      <c r="X56" s="214">
        <v>0</v>
      </c>
      <c r="Y56" s="214">
        <v>220</v>
      </c>
      <c r="Z56" s="214">
        <v>220</v>
      </c>
      <c r="AA56" s="214">
        <v>335.5</v>
      </c>
      <c r="AB56" s="214">
        <v>392.5</v>
      </c>
      <c r="AC56" s="214">
        <v>380</v>
      </c>
      <c r="AD56" s="214">
        <v>380</v>
      </c>
      <c r="AE56" s="214">
        <v>325</v>
      </c>
      <c r="AF56" s="214">
        <v>277.5</v>
      </c>
      <c r="AG56" s="214">
        <v>250</v>
      </c>
      <c r="AH56" s="214">
        <v>245</v>
      </c>
      <c r="AI56" s="214">
        <v>182.5</v>
      </c>
      <c r="AJ56" s="214">
        <v>142.5</v>
      </c>
      <c r="AK56" s="214">
        <v>115</v>
      </c>
      <c r="AL56" s="214">
        <v>0</v>
      </c>
    </row>
    <row r="57" spans="1:38" x14ac:dyDescent="0.25">
      <c r="A57" s="214" t="s">
        <v>238</v>
      </c>
      <c r="B57" s="214">
        <v>0</v>
      </c>
      <c r="C57" s="214">
        <v>0</v>
      </c>
      <c r="D57" s="214">
        <v>0</v>
      </c>
      <c r="E57" s="214">
        <v>722.5</v>
      </c>
      <c r="F57" s="214">
        <v>907.5</v>
      </c>
      <c r="G57" s="214">
        <v>950</v>
      </c>
      <c r="H57" s="214">
        <v>1057.5</v>
      </c>
      <c r="I57" s="214">
        <v>1272.5</v>
      </c>
      <c r="J57" s="214">
        <v>1057.5</v>
      </c>
      <c r="K57" s="214">
        <v>1052.5</v>
      </c>
      <c r="L57" s="214">
        <v>945</v>
      </c>
      <c r="M57" s="214">
        <v>862.5</v>
      </c>
      <c r="N57" s="214">
        <v>785</v>
      </c>
      <c r="O57" s="214">
        <v>705</v>
      </c>
      <c r="P57" s="214">
        <v>520</v>
      </c>
      <c r="Q57" s="214">
        <v>335</v>
      </c>
      <c r="R57" s="214">
        <v>0</v>
      </c>
      <c r="S57" s="214">
        <v>0</v>
      </c>
      <c r="T57" s="214">
        <v>0</v>
      </c>
      <c r="U57" s="214">
        <v>722.5</v>
      </c>
      <c r="V57" s="214">
        <v>790.5</v>
      </c>
      <c r="W57" s="214">
        <v>920.5</v>
      </c>
      <c r="X57" s="214">
        <v>0</v>
      </c>
      <c r="Y57" s="214">
        <v>552.5</v>
      </c>
      <c r="Z57" s="214">
        <v>552.5</v>
      </c>
      <c r="AA57" s="214">
        <v>932.5</v>
      </c>
      <c r="AB57" s="214">
        <v>1105</v>
      </c>
      <c r="AC57" s="214">
        <v>937.5</v>
      </c>
      <c r="AD57" s="214">
        <v>937.5</v>
      </c>
      <c r="AE57" s="214">
        <v>868</v>
      </c>
      <c r="AF57" s="214">
        <v>707.5</v>
      </c>
      <c r="AG57" s="214">
        <v>622.5</v>
      </c>
      <c r="AH57" s="214">
        <v>577.5</v>
      </c>
      <c r="AI57" s="214">
        <v>510</v>
      </c>
      <c r="AJ57" s="214">
        <v>335</v>
      </c>
      <c r="AK57" s="214">
        <v>267.5</v>
      </c>
      <c r="AL57" s="214">
        <v>0</v>
      </c>
    </row>
    <row r="58" spans="1:38" x14ac:dyDescent="0.25">
      <c r="A58" s="214" t="s">
        <v>668</v>
      </c>
      <c r="B58" s="214">
        <v>0</v>
      </c>
      <c r="C58" s="214">
        <v>0</v>
      </c>
      <c r="D58" s="214">
        <v>0</v>
      </c>
      <c r="E58" s="214">
        <v>0</v>
      </c>
      <c r="F58" s="214">
        <v>0</v>
      </c>
      <c r="G58" s="214">
        <v>0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14">
        <v>0</v>
      </c>
      <c r="O58" s="214">
        <v>0</v>
      </c>
      <c r="P58" s="214">
        <v>0</v>
      </c>
      <c r="Q58" s="214">
        <v>0</v>
      </c>
      <c r="R58" s="214">
        <v>0</v>
      </c>
      <c r="S58" s="214">
        <v>0</v>
      </c>
      <c r="T58" s="214">
        <v>0</v>
      </c>
      <c r="U58" s="214">
        <v>0</v>
      </c>
      <c r="V58" s="214">
        <v>0</v>
      </c>
      <c r="W58" s="214">
        <v>0</v>
      </c>
      <c r="X58" s="214">
        <v>26</v>
      </c>
      <c r="Y58" s="214">
        <v>26</v>
      </c>
      <c r="Z58" s="214">
        <v>26</v>
      </c>
      <c r="AA58" s="214">
        <v>0</v>
      </c>
      <c r="AB58" s="214">
        <v>0</v>
      </c>
      <c r="AC58" s="214">
        <v>0</v>
      </c>
      <c r="AD58" s="214">
        <v>0</v>
      </c>
      <c r="AE58" s="214">
        <v>0</v>
      </c>
      <c r="AF58" s="214">
        <v>0</v>
      </c>
      <c r="AG58" s="214">
        <v>0</v>
      </c>
      <c r="AH58" s="214">
        <v>0</v>
      </c>
      <c r="AI58" s="214">
        <v>0</v>
      </c>
      <c r="AJ58" s="214">
        <v>0</v>
      </c>
      <c r="AK58" s="214">
        <v>0</v>
      </c>
      <c r="AL58" s="214">
        <v>0</v>
      </c>
    </row>
    <row r="59" spans="1:38" x14ac:dyDescent="0.25">
      <c r="A59" s="214" t="s">
        <v>667</v>
      </c>
      <c r="B59" s="214">
        <v>0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v>0</v>
      </c>
      <c r="S59" s="214">
        <v>0</v>
      </c>
      <c r="T59" s="214">
        <v>0</v>
      </c>
      <c r="U59" s="214">
        <v>0</v>
      </c>
      <c r="V59" s="214">
        <v>0</v>
      </c>
      <c r="W59" s="214">
        <v>0</v>
      </c>
      <c r="X59" s="214">
        <v>30</v>
      </c>
      <c r="Y59" s="214">
        <v>30</v>
      </c>
      <c r="Z59" s="214">
        <v>30</v>
      </c>
      <c r="AA59" s="214">
        <v>0</v>
      </c>
      <c r="AB59" s="214">
        <v>0</v>
      </c>
      <c r="AC59" s="214">
        <v>0</v>
      </c>
      <c r="AD59" s="214">
        <v>0</v>
      </c>
      <c r="AE59" s="214">
        <v>0</v>
      </c>
      <c r="AF59" s="214">
        <v>0</v>
      </c>
      <c r="AG59" s="214">
        <v>0</v>
      </c>
      <c r="AH59" s="214">
        <v>0</v>
      </c>
      <c r="AI59" s="214">
        <v>0</v>
      </c>
      <c r="AJ59" s="214">
        <v>0</v>
      </c>
      <c r="AK59" s="214">
        <v>0</v>
      </c>
      <c r="AL59" s="214">
        <v>0</v>
      </c>
    </row>
    <row r="60" spans="1:38" x14ac:dyDescent="0.25">
      <c r="A60" s="214" t="s">
        <v>666</v>
      </c>
      <c r="B60" s="214">
        <v>0</v>
      </c>
      <c r="C60" s="214">
        <v>0</v>
      </c>
      <c r="D60" s="214">
        <v>0</v>
      </c>
      <c r="E60" s="214">
        <v>0</v>
      </c>
      <c r="F60" s="214">
        <v>0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14">
        <v>0</v>
      </c>
      <c r="S60" s="214">
        <v>0</v>
      </c>
      <c r="T60" s="214">
        <v>0</v>
      </c>
      <c r="U60" s="214">
        <v>45</v>
      </c>
      <c r="V60" s="214">
        <v>45</v>
      </c>
      <c r="W60" s="214">
        <v>45</v>
      </c>
      <c r="X60" s="214">
        <v>0</v>
      </c>
      <c r="Y60" s="214">
        <v>45</v>
      </c>
      <c r="Z60" s="214">
        <v>50</v>
      </c>
      <c r="AA60" s="214">
        <v>45</v>
      </c>
      <c r="AB60" s="214">
        <v>45</v>
      </c>
      <c r="AC60" s="214">
        <v>0</v>
      </c>
      <c r="AD60" s="214">
        <v>0</v>
      </c>
      <c r="AE60" s="214">
        <v>0</v>
      </c>
      <c r="AF60" s="214">
        <v>0</v>
      </c>
      <c r="AG60" s="214">
        <v>0</v>
      </c>
      <c r="AH60" s="214">
        <v>0</v>
      </c>
      <c r="AI60" s="214">
        <v>0</v>
      </c>
      <c r="AJ60" s="214">
        <v>0</v>
      </c>
      <c r="AK60" s="214">
        <v>0</v>
      </c>
      <c r="AL60" s="214">
        <v>0</v>
      </c>
    </row>
    <row r="61" spans="1:38" x14ac:dyDescent="0.25">
      <c r="A61" s="214" t="s">
        <v>684</v>
      </c>
      <c r="B61" s="214">
        <v>0</v>
      </c>
      <c r="C61" s="214">
        <v>0</v>
      </c>
      <c r="D61" s="214">
        <v>0</v>
      </c>
      <c r="E61" s="214">
        <v>0</v>
      </c>
      <c r="F61" s="214">
        <v>0</v>
      </c>
      <c r="G61" s="214">
        <v>0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v>0</v>
      </c>
      <c r="S61" s="214">
        <v>0</v>
      </c>
      <c r="T61" s="214">
        <v>0</v>
      </c>
      <c r="U61" s="214">
        <v>0</v>
      </c>
      <c r="V61" s="214">
        <v>0</v>
      </c>
      <c r="W61" s="214">
        <v>0</v>
      </c>
      <c r="X61" s="214">
        <v>32.5</v>
      </c>
      <c r="Y61" s="214">
        <v>40</v>
      </c>
      <c r="Z61" s="214">
        <v>57.5</v>
      </c>
      <c r="AA61" s="214">
        <v>0</v>
      </c>
      <c r="AB61" s="214">
        <v>0</v>
      </c>
      <c r="AC61" s="214">
        <v>0</v>
      </c>
      <c r="AD61" s="214">
        <v>0</v>
      </c>
      <c r="AE61" s="214">
        <v>0</v>
      </c>
      <c r="AF61" s="214">
        <v>0</v>
      </c>
      <c r="AG61" s="214">
        <v>0</v>
      </c>
      <c r="AH61" s="214">
        <v>0</v>
      </c>
      <c r="AI61" s="214">
        <v>0</v>
      </c>
      <c r="AJ61" s="214">
        <v>0</v>
      </c>
      <c r="AK61" s="214">
        <v>0</v>
      </c>
      <c r="AL61" s="214">
        <v>0</v>
      </c>
    </row>
    <row r="62" spans="1:38" x14ac:dyDescent="0.25">
      <c r="A62" s="214" t="s">
        <v>683</v>
      </c>
      <c r="B62" s="214">
        <v>0</v>
      </c>
      <c r="C62" s="214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14">
        <v>0</v>
      </c>
      <c r="T62" s="214">
        <v>0</v>
      </c>
      <c r="U62" s="214">
        <v>57.5</v>
      </c>
      <c r="V62" s="214">
        <v>57.5</v>
      </c>
      <c r="W62" s="214">
        <v>57.5</v>
      </c>
      <c r="X62" s="214">
        <v>22.5</v>
      </c>
      <c r="Y62" s="214">
        <v>42.5</v>
      </c>
      <c r="Z62" s="214">
        <v>62.5</v>
      </c>
      <c r="AA62" s="214">
        <v>57.5</v>
      </c>
      <c r="AB62" s="214">
        <v>57.5</v>
      </c>
      <c r="AC62" s="214">
        <v>0</v>
      </c>
      <c r="AD62" s="214">
        <v>0</v>
      </c>
      <c r="AE62" s="214">
        <v>0</v>
      </c>
      <c r="AF62" s="214">
        <v>0</v>
      </c>
      <c r="AG62" s="214">
        <v>0</v>
      </c>
      <c r="AH62" s="214">
        <v>0</v>
      </c>
      <c r="AI62" s="214">
        <v>0</v>
      </c>
      <c r="AJ62" s="214">
        <v>0</v>
      </c>
      <c r="AK62" s="214">
        <v>0</v>
      </c>
      <c r="AL62" s="214">
        <v>0</v>
      </c>
    </row>
    <row r="63" spans="1:38" x14ac:dyDescent="0.25">
      <c r="A63" s="214" t="s">
        <v>239</v>
      </c>
      <c r="B63" s="214">
        <v>0</v>
      </c>
      <c r="C63" s="214">
        <v>35.5</v>
      </c>
      <c r="D63" s="214">
        <v>62.5</v>
      </c>
      <c r="E63" s="214">
        <v>97.5</v>
      </c>
      <c r="F63" s="214">
        <v>157.5</v>
      </c>
      <c r="G63" s="214">
        <v>157.5</v>
      </c>
      <c r="H63" s="214">
        <v>157.5</v>
      </c>
      <c r="I63" s="214">
        <v>145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0</v>
      </c>
      <c r="T63" s="214">
        <v>0</v>
      </c>
      <c r="U63" s="214">
        <v>82.5</v>
      </c>
      <c r="V63" s="214">
        <v>95</v>
      </c>
      <c r="W63" s="214">
        <v>115</v>
      </c>
      <c r="X63" s="214">
        <v>20</v>
      </c>
      <c r="Y63" s="214">
        <v>45</v>
      </c>
      <c r="Z63" s="214">
        <v>72.5</v>
      </c>
      <c r="AA63" s="214">
        <v>117.5</v>
      </c>
      <c r="AB63" s="214">
        <v>115</v>
      </c>
      <c r="AC63" s="214">
        <v>0</v>
      </c>
      <c r="AD63" s="214">
        <v>0</v>
      </c>
      <c r="AE63" s="214">
        <v>0</v>
      </c>
      <c r="AF63" s="214">
        <v>0</v>
      </c>
      <c r="AG63" s="214">
        <v>0</v>
      </c>
      <c r="AH63" s="214">
        <v>0</v>
      </c>
      <c r="AI63" s="214">
        <v>0</v>
      </c>
      <c r="AJ63" s="214">
        <v>0</v>
      </c>
      <c r="AK63" s="214">
        <v>0</v>
      </c>
      <c r="AL63" s="214">
        <v>0</v>
      </c>
    </row>
    <row r="64" spans="1:38" x14ac:dyDescent="0.25">
      <c r="A64" s="214" t="s">
        <v>240</v>
      </c>
      <c r="B64" s="214">
        <v>0</v>
      </c>
      <c r="C64" s="214">
        <v>0</v>
      </c>
      <c r="D64" s="214">
        <v>52.5</v>
      </c>
      <c r="E64" s="214">
        <v>125</v>
      </c>
      <c r="F64" s="214">
        <v>150.5</v>
      </c>
      <c r="G64" s="214">
        <v>150.5</v>
      </c>
      <c r="H64" s="214">
        <v>167.5</v>
      </c>
      <c r="I64" s="214">
        <v>142.5</v>
      </c>
      <c r="J64" s="214">
        <v>142.5</v>
      </c>
      <c r="K64" s="214">
        <v>150</v>
      </c>
      <c r="L64" s="214">
        <v>135</v>
      </c>
      <c r="M64" s="214">
        <v>135</v>
      </c>
      <c r="N64" s="214">
        <v>135</v>
      </c>
      <c r="O64" s="214">
        <v>120</v>
      </c>
      <c r="P64" s="214">
        <v>97.5</v>
      </c>
      <c r="Q64" s="214">
        <v>82.5</v>
      </c>
      <c r="R64" s="214">
        <v>57.5</v>
      </c>
      <c r="S64" s="214">
        <v>0</v>
      </c>
      <c r="T64" s="214">
        <v>0</v>
      </c>
      <c r="U64" s="214">
        <v>115.5</v>
      </c>
      <c r="V64" s="214">
        <v>115.5</v>
      </c>
      <c r="W64" s="214">
        <v>142.5</v>
      </c>
      <c r="X64" s="214">
        <v>40</v>
      </c>
      <c r="Y64" s="214">
        <v>40</v>
      </c>
      <c r="Z64" s="214">
        <v>72.5</v>
      </c>
      <c r="AA64" s="214">
        <v>150</v>
      </c>
      <c r="AB64" s="214">
        <v>155</v>
      </c>
      <c r="AC64" s="214">
        <v>115</v>
      </c>
      <c r="AD64" s="214">
        <v>107.5</v>
      </c>
      <c r="AE64" s="214">
        <v>105.5</v>
      </c>
      <c r="AF64" s="214">
        <v>105.5</v>
      </c>
      <c r="AG64" s="214">
        <v>105.5</v>
      </c>
      <c r="AH64" s="214">
        <v>102.5</v>
      </c>
      <c r="AI64" s="214">
        <v>85</v>
      </c>
      <c r="AJ64" s="214">
        <v>85</v>
      </c>
      <c r="AK64" s="214">
        <v>42.5</v>
      </c>
      <c r="AL64" s="214">
        <v>0</v>
      </c>
    </row>
    <row r="65" spans="1:38" x14ac:dyDescent="0.25">
      <c r="A65" s="214" t="s">
        <v>241</v>
      </c>
      <c r="B65" s="214">
        <v>0</v>
      </c>
      <c r="C65" s="214">
        <v>0</v>
      </c>
      <c r="D65" s="214">
        <v>0</v>
      </c>
      <c r="E65" s="214">
        <v>132.5</v>
      </c>
      <c r="F65" s="214">
        <v>160</v>
      </c>
      <c r="G65" s="214">
        <v>213.5</v>
      </c>
      <c r="H65" s="214">
        <v>240</v>
      </c>
      <c r="I65" s="214">
        <v>240</v>
      </c>
      <c r="J65" s="214">
        <v>170</v>
      </c>
      <c r="K65" s="214">
        <v>170</v>
      </c>
      <c r="L65" s="214">
        <v>147.5</v>
      </c>
      <c r="M65" s="214">
        <v>132.5</v>
      </c>
      <c r="N65" s="214">
        <v>132.5</v>
      </c>
      <c r="O65" s="214">
        <v>137.5</v>
      </c>
      <c r="P65" s="214">
        <v>132.5</v>
      </c>
      <c r="Q65" s="214">
        <v>0</v>
      </c>
      <c r="R65" s="214">
        <v>40</v>
      </c>
      <c r="S65" s="214">
        <v>0</v>
      </c>
      <c r="T65" s="214">
        <v>0</v>
      </c>
      <c r="U65" s="214">
        <v>132.5</v>
      </c>
      <c r="V65" s="214">
        <v>137.5</v>
      </c>
      <c r="W65" s="214">
        <v>142.5</v>
      </c>
      <c r="X65" s="214">
        <v>0</v>
      </c>
      <c r="Y65" s="214">
        <v>57.5</v>
      </c>
      <c r="Z65" s="214">
        <v>78</v>
      </c>
      <c r="AA65" s="214">
        <v>167.5</v>
      </c>
      <c r="AB65" s="214">
        <v>170</v>
      </c>
      <c r="AC65" s="214">
        <v>147.5</v>
      </c>
      <c r="AD65" s="214">
        <v>147.5</v>
      </c>
      <c r="AE65" s="214">
        <v>142.5</v>
      </c>
      <c r="AF65" s="214">
        <v>142.5</v>
      </c>
      <c r="AG65" s="214">
        <v>128</v>
      </c>
      <c r="AH65" s="214">
        <v>127.5</v>
      </c>
      <c r="AI65" s="214">
        <v>97.5</v>
      </c>
      <c r="AJ65" s="214">
        <v>97.5</v>
      </c>
      <c r="AK65" s="214">
        <v>92.5</v>
      </c>
      <c r="AL65" s="214">
        <v>62.5</v>
      </c>
    </row>
    <row r="66" spans="1:38" x14ac:dyDescent="0.25">
      <c r="A66" s="214" t="s">
        <v>242</v>
      </c>
      <c r="B66" s="214">
        <v>0</v>
      </c>
      <c r="C66" s="214">
        <v>0</v>
      </c>
      <c r="D66" s="214">
        <v>0</v>
      </c>
      <c r="E66" s="214">
        <v>145</v>
      </c>
      <c r="F66" s="214">
        <v>160</v>
      </c>
      <c r="G66" s="214">
        <v>212.5</v>
      </c>
      <c r="H66" s="214">
        <v>235</v>
      </c>
      <c r="I66" s="214">
        <v>235</v>
      </c>
      <c r="J66" s="214">
        <v>195</v>
      </c>
      <c r="K66" s="214">
        <v>195</v>
      </c>
      <c r="L66" s="214">
        <v>190</v>
      </c>
      <c r="M66" s="214">
        <v>175.5</v>
      </c>
      <c r="N66" s="214">
        <v>175.5</v>
      </c>
      <c r="O66" s="214">
        <v>145</v>
      </c>
      <c r="P66" s="214">
        <v>140</v>
      </c>
      <c r="Q66" s="214">
        <v>113.5</v>
      </c>
      <c r="R66" s="214">
        <v>105</v>
      </c>
      <c r="S66" s="214">
        <v>0</v>
      </c>
      <c r="T66" s="214">
        <v>0</v>
      </c>
      <c r="U66" s="214">
        <v>142.5</v>
      </c>
      <c r="V66" s="214">
        <v>142.5</v>
      </c>
      <c r="W66" s="214">
        <v>165</v>
      </c>
      <c r="X66" s="214">
        <v>0</v>
      </c>
      <c r="Y66" s="214">
        <v>50</v>
      </c>
      <c r="Z66" s="214">
        <v>97.5</v>
      </c>
      <c r="AA66" s="214">
        <v>193</v>
      </c>
      <c r="AB66" s="214">
        <v>195</v>
      </c>
      <c r="AC66" s="214">
        <v>182.5</v>
      </c>
      <c r="AD66" s="214">
        <v>182.5</v>
      </c>
      <c r="AE66" s="214">
        <v>180</v>
      </c>
      <c r="AF66" s="214">
        <v>148.5</v>
      </c>
      <c r="AG66" s="214">
        <v>148.5</v>
      </c>
      <c r="AH66" s="214">
        <v>128</v>
      </c>
      <c r="AI66" s="214">
        <v>128</v>
      </c>
      <c r="AJ66" s="214">
        <v>105</v>
      </c>
      <c r="AK66" s="214">
        <v>105</v>
      </c>
      <c r="AL66" s="214">
        <v>0</v>
      </c>
    </row>
    <row r="67" spans="1:38" x14ac:dyDescent="0.25">
      <c r="A67" s="214" t="s">
        <v>243</v>
      </c>
      <c r="B67" s="214">
        <v>0</v>
      </c>
      <c r="C67" s="214">
        <v>0</v>
      </c>
      <c r="D67" s="214">
        <v>0</v>
      </c>
      <c r="E67" s="214">
        <v>165.6</v>
      </c>
      <c r="F67" s="214">
        <v>200</v>
      </c>
      <c r="G67" s="214">
        <v>220</v>
      </c>
      <c r="H67" s="214">
        <v>300</v>
      </c>
      <c r="I67" s="214">
        <v>300</v>
      </c>
      <c r="J67" s="214">
        <v>263</v>
      </c>
      <c r="K67" s="214">
        <v>255</v>
      </c>
      <c r="L67" s="214">
        <v>225</v>
      </c>
      <c r="M67" s="214">
        <v>215</v>
      </c>
      <c r="N67" s="214">
        <v>180</v>
      </c>
      <c r="O67" s="214">
        <v>170</v>
      </c>
      <c r="P67" s="214">
        <v>160.5</v>
      </c>
      <c r="Q67" s="214">
        <v>125</v>
      </c>
      <c r="R67" s="214">
        <v>107.5</v>
      </c>
      <c r="S67" s="214">
        <v>90</v>
      </c>
      <c r="T67" s="214">
        <v>37.5</v>
      </c>
      <c r="U67" s="214">
        <v>137.5</v>
      </c>
      <c r="V67" s="214">
        <v>175</v>
      </c>
      <c r="W67" s="214">
        <v>185</v>
      </c>
      <c r="X67" s="214">
        <v>0</v>
      </c>
      <c r="Y67" s="214">
        <v>0</v>
      </c>
      <c r="Z67" s="214">
        <v>97.5</v>
      </c>
      <c r="AA67" s="214">
        <v>195</v>
      </c>
      <c r="AB67" s="214">
        <v>202.5</v>
      </c>
      <c r="AC67" s="214">
        <v>217.5</v>
      </c>
      <c r="AD67" s="214">
        <v>197.5</v>
      </c>
      <c r="AE67" s="214">
        <v>197.5</v>
      </c>
      <c r="AF67" s="214">
        <v>160</v>
      </c>
      <c r="AG67" s="214">
        <v>147.5</v>
      </c>
      <c r="AH67" s="214">
        <v>137.5</v>
      </c>
      <c r="AI67" s="214">
        <v>137.5</v>
      </c>
      <c r="AJ67" s="214">
        <v>108</v>
      </c>
      <c r="AK67" s="214">
        <v>83</v>
      </c>
      <c r="AL67" s="214">
        <v>83</v>
      </c>
    </row>
    <row r="68" spans="1:38" x14ac:dyDescent="0.25">
      <c r="A68" s="214" t="s">
        <v>244</v>
      </c>
      <c r="B68" s="214">
        <v>0</v>
      </c>
      <c r="C68" s="214">
        <v>42.5</v>
      </c>
      <c r="D68" s="214">
        <v>0</v>
      </c>
      <c r="E68" s="214">
        <v>170</v>
      </c>
      <c r="F68" s="214">
        <v>207.5</v>
      </c>
      <c r="G68" s="214">
        <v>260</v>
      </c>
      <c r="H68" s="214">
        <v>265</v>
      </c>
      <c r="I68" s="214">
        <v>320</v>
      </c>
      <c r="J68" s="214">
        <v>319</v>
      </c>
      <c r="K68" s="214">
        <v>275</v>
      </c>
      <c r="L68" s="214">
        <v>230</v>
      </c>
      <c r="M68" s="214">
        <v>218.5</v>
      </c>
      <c r="N68" s="214">
        <v>192.5</v>
      </c>
      <c r="O68" s="214">
        <v>192.5</v>
      </c>
      <c r="P68" s="214">
        <v>182.5</v>
      </c>
      <c r="Q68" s="214">
        <v>115</v>
      </c>
      <c r="R68" s="214">
        <v>110</v>
      </c>
      <c r="S68" s="214">
        <v>85</v>
      </c>
      <c r="T68" s="214">
        <v>0</v>
      </c>
      <c r="U68" s="214">
        <v>147.5</v>
      </c>
      <c r="V68" s="214">
        <v>200</v>
      </c>
      <c r="W68" s="214">
        <v>200</v>
      </c>
      <c r="X68" s="214">
        <v>0</v>
      </c>
      <c r="Y68" s="214">
        <v>32.5</v>
      </c>
      <c r="Z68" s="214">
        <v>120</v>
      </c>
      <c r="AA68" s="214">
        <v>200</v>
      </c>
      <c r="AB68" s="214">
        <v>233.5</v>
      </c>
      <c r="AC68" s="214">
        <v>233.5</v>
      </c>
      <c r="AD68" s="214">
        <v>233.5</v>
      </c>
      <c r="AE68" s="214">
        <v>222.5</v>
      </c>
      <c r="AF68" s="214">
        <v>210</v>
      </c>
      <c r="AG68" s="214">
        <v>167.5</v>
      </c>
      <c r="AH68" s="214">
        <v>145</v>
      </c>
      <c r="AI68" s="214">
        <v>142.5</v>
      </c>
      <c r="AJ68" s="214">
        <v>116</v>
      </c>
      <c r="AK68" s="214">
        <v>77.5</v>
      </c>
      <c r="AL68" s="214">
        <v>0</v>
      </c>
    </row>
    <row r="69" spans="1:38" x14ac:dyDescent="0.25">
      <c r="A69" s="214" t="s">
        <v>245</v>
      </c>
      <c r="B69" s="214">
        <v>0</v>
      </c>
      <c r="C69" s="214">
        <v>0</v>
      </c>
      <c r="D69" s="214">
        <v>0</v>
      </c>
      <c r="E69" s="214">
        <v>182.5</v>
      </c>
      <c r="F69" s="214">
        <v>207.5</v>
      </c>
      <c r="G69" s="214">
        <v>288.5</v>
      </c>
      <c r="H69" s="214">
        <v>288.5</v>
      </c>
      <c r="I69" s="214">
        <v>337</v>
      </c>
      <c r="J69" s="214">
        <v>337</v>
      </c>
      <c r="K69" s="214">
        <v>337</v>
      </c>
      <c r="L69" s="214">
        <v>337</v>
      </c>
      <c r="M69" s="214">
        <v>252.5</v>
      </c>
      <c r="N69" s="214">
        <v>227.5</v>
      </c>
      <c r="O69" s="214">
        <v>170</v>
      </c>
      <c r="P69" s="214">
        <v>200</v>
      </c>
      <c r="Q69" s="214">
        <v>147.5</v>
      </c>
      <c r="R69" s="214">
        <v>125</v>
      </c>
      <c r="S69" s="214">
        <v>0</v>
      </c>
      <c r="T69" s="214">
        <v>0</v>
      </c>
      <c r="U69" s="214">
        <v>147.5</v>
      </c>
      <c r="V69" s="214">
        <v>172.5</v>
      </c>
      <c r="W69" s="214">
        <v>187.5</v>
      </c>
      <c r="X69" s="214">
        <v>0</v>
      </c>
      <c r="Y69" s="214">
        <v>0</v>
      </c>
      <c r="Z69" s="214">
        <v>110</v>
      </c>
      <c r="AA69" s="214">
        <v>215</v>
      </c>
      <c r="AB69" s="214">
        <v>242.5</v>
      </c>
      <c r="AC69" s="214">
        <v>232.5</v>
      </c>
      <c r="AD69" s="214">
        <v>232.5</v>
      </c>
      <c r="AE69" s="214">
        <v>195</v>
      </c>
      <c r="AF69" s="214">
        <v>187.5</v>
      </c>
      <c r="AG69" s="214">
        <v>170</v>
      </c>
      <c r="AH69" s="214">
        <v>160</v>
      </c>
      <c r="AI69" s="214">
        <v>145</v>
      </c>
      <c r="AJ69" s="214">
        <v>145</v>
      </c>
      <c r="AK69" s="214">
        <v>122.5</v>
      </c>
      <c r="AL69" s="214">
        <v>0</v>
      </c>
    </row>
    <row r="70" spans="1:38" x14ac:dyDescent="0.25">
      <c r="A70" s="214" t="s">
        <v>246</v>
      </c>
      <c r="B70" s="214">
        <v>0</v>
      </c>
      <c r="C70" s="214">
        <v>0</v>
      </c>
      <c r="D70" s="214">
        <v>0</v>
      </c>
      <c r="E70" s="214">
        <v>170</v>
      </c>
      <c r="F70" s="214">
        <v>245</v>
      </c>
      <c r="G70" s="214">
        <v>283</v>
      </c>
      <c r="H70" s="214">
        <v>295</v>
      </c>
      <c r="I70" s="214">
        <v>356.5</v>
      </c>
      <c r="J70" s="214">
        <v>315.5</v>
      </c>
      <c r="K70" s="214">
        <v>302.5</v>
      </c>
      <c r="L70" s="214">
        <v>302.5</v>
      </c>
      <c r="M70" s="214">
        <v>242.5</v>
      </c>
      <c r="N70" s="214">
        <v>217.5</v>
      </c>
      <c r="O70" s="214">
        <v>200</v>
      </c>
      <c r="P70" s="214">
        <v>197.5</v>
      </c>
      <c r="Q70" s="214">
        <v>155</v>
      </c>
      <c r="R70" s="214">
        <v>0</v>
      </c>
      <c r="S70" s="214">
        <v>0</v>
      </c>
      <c r="T70" s="214">
        <v>0</v>
      </c>
      <c r="U70" s="214">
        <v>145</v>
      </c>
      <c r="V70" s="214">
        <v>162.4</v>
      </c>
      <c r="W70" s="214">
        <v>205</v>
      </c>
      <c r="X70" s="214">
        <v>0</v>
      </c>
      <c r="Y70" s="214">
        <v>0</v>
      </c>
      <c r="Z70" s="214">
        <v>75</v>
      </c>
      <c r="AA70" s="214">
        <v>242.5</v>
      </c>
      <c r="AB70" s="214">
        <v>253</v>
      </c>
      <c r="AC70" s="214">
        <v>240</v>
      </c>
      <c r="AD70" s="214">
        <v>240</v>
      </c>
      <c r="AE70" s="214">
        <v>240</v>
      </c>
      <c r="AF70" s="214">
        <v>207.5</v>
      </c>
      <c r="AG70" s="214">
        <v>190</v>
      </c>
      <c r="AH70" s="214">
        <v>160</v>
      </c>
      <c r="AI70" s="214">
        <v>147.5</v>
      </c>
      <c r="AJ70" s="214">
        <v>127.5</v>
      </c>
      <c r="AK70" s="214">
        <v>0</v>
      </c>
      <c r="AL70" s="214">
        <v>0</v>
      </c>
    </row>
    <row r="71" spans="1:38" x14ac:dyDescent="0.25">
      <c r="A71" s="214" t="s">
        <v>247</v>
      </c>
      <c r="B71" s="214">
        <v>0</v>
      </c>
      <c r="C71" s="214">
        <v>0</v>
      </c>
      <c r="D71" s="214">
        <v>0</v>
      </c>
      <c r="E71" s="214">
        <v>175</v>
      </c>
      <c r="F71" s="214">
        <v>260</v>
      </c>
      <c r="G71" s="214">
        <v>272.5</v>
      </c>
      <c r="H71" s="214">
        <v>350</v>
      </c>
      <c r="I71" s="214">
        <v>410</v>
      </c>
      <c r="J71" s="214">
        <v>385</v>
      </c>
      <c r="K71" s="214">
        <v>362.5</v>
      </c>
      <c r="L71" s="214">
        <v>320</v>
      </c>
      <c r="M71" s="214">
        <v>320</v>
      </c>
      <c r="N71" s="214">
        <v>287.5</v>
      </c>
      <c r="O71" s="214">
        <v>232.5</v>
      </c>
      <c r="P71" s="214">
        <v>180</v>
      </c>
      <c r="Q71" s="214">
        <v>100</v>
      </c>
      <c r="R71" s="214">
        <v>0</v>
      </c>
      <c r="S71" s="214">
        <v>0</v>
      </c>
      <c r="T71" s="214">
        <v>0</v>
      </c>
      <c r="U71" s="214">
        <v>175</v>
      </c>
      <c r="V71" s="214">
        <v>190</v>
      </c>
      <c r="W71" s="214">
        <v>207.5</v>
      </c>
      <c r="X71" s="214">
        <v>0</v>
      </c>
      <c r="Y71" s="214">
        <v>135</v>
      </c>
      <c r="Z71" s="214">
        <v>135</v>
      </c>
      <c r="AA71" s="214">
        <v>272.5</v>
      </c>
      <c r="AB71" s="214">
        <v>290</v>
      </c>
      <c r="AC71" s="214">
        <v>260</v>
      </c>
      <c r="AD71" s="214">
        <v>247.5</v>
      </c>
      <c r="AE71" s="214">
        <v>237.5</v>
      </c>
      <c r="AF71" s="214">
        <v>228</v>
      </c>
      <c r="AG71" s="214">
        <v>228</v>
      </c>
      <c r="AH71" s="214">
        <v>160</v>
      </c>
      <c r="AI71" s="214">
        <v>145</v>
      </c>
      <c r="AJ71" s="214">
        <v>130</v>
      </c>
      <c r="AK71" s="214">
        <v>77.5</v>
      </c>
      <c r="AL71" s="214">
        <v>0</v>
      </c>
    </row>
    <row r="72" spans="1:38" x14ac:dyDescent="0.25">
      <c r="A72" s="214" t="s">
        <v>665</v>
      </c>
      <c r="B72" s="214">
        <v>0</v>
      </c>
      <c r="C72" s="214">
        <v>0</v>
      </c>
      <c r="D72" s="214">
        <v>0</v>
      </c>
      <c r="E72" s="214">
        <v>0</v>
      </c>
      <c r="F72" s="214">
        <v>0</v>
      </c>
      <c r="G72" s="214">
        <v>0</v>
      </c>
      <c r="H72" s="214">
        <v>0</v>
      </c>
      <c r="I72" s="214">
        <v>0</v>
      </c>
      <c r="J72" s="214">
        <v>0</v>
      </c>
      <c r="K72" s="214">
        <v>0</v>
      </c>
      <c r="L72" s="214">
        <v>0</v>
      </c>
      <c r="M72" s="214">
        <v>0</v>
      </c>
      <c r="N72" s="214">
        <v>0</v>
      </c>
      <c r="O72" s="214">
        <v>0</v>
      </c>
      <c r="P72" s="214">
        <v>0</v>
      </c>
      <c r="Q72" s="214">
        <v>0</v>
      </c>
      <c r="R72" s="214">
        <v>0</v>
      </c>
      <c r="S72" s="214">
        <v>0</v>
      </c>
      <c r="T72" s="214">
        <v>0</v>
      </c>
      <c r="U72" s="214">
        <v>0</v>
      </c>
      <c r="V72" s="214">
        <v>0</v>
      </c>
      <c r="W72" s="214">
        <v>0</v>
      </c>
      <c r="X72" s="214">
        <v>70</v>
      </c>
      <c r="Y72" s="214">
        <v>70</v>
      </c>
      <c r="Z72" s="214">
        <v>70</v>
      </c>
      <c r="AA72" s="214">
        <v>0</v>
      </c>
      <c r="AB72" s="214">
        <v>0</v>
      </c>
      <c r="AC72" s="214">
        <v>0</v>
      </c>
      <c r="AD72" s="214">
        <v>0</v>
      </c>
      <c r="AE72" s="214">
        <v>0</v>
      </c>
      <c r="AF72" s="214">
        <v>0</v>
      </c>
      <c r="AG72" s="214">
        <v>0</v>
      </c>
      <c r="AH72" s="214">
        <v>0</v>
      </c>
      <c r="AI72" s="214">
        <v>0</v>
      </c>
      <c r="AJ72" s="214">
        <v>0</v>
      </c>
      <c r="AK72" s="214">
        <v>0</v>
      </c>
      <c r="AL72" s="214">
        <v>0</v>
      </c>
    </row>
    <row r="73" spans="1:38" x14ac:dyDescent="0.25">
      <c r="A73" s="214" t="s">
        <v>664</v>
      </c>
      <c r="B73" s="214">
        <v>0</v>
      </c>
      <c r="C73" s="214">
        <v>0</v>
      </c>
      <c r="D73" s="214">
        <v>0</v>
      </c>
      <c r="E73" s="214">
        <v>0</v>
      </c>
      <c r="F73" s="214">
        <v>0</v>
      </c>
      <c r="G73" s="214">
        <v>0</v>
      </c>
      <c r="H73" s="214">
        <v>0</v>
      </c>
      <c r="I73" s="214">
        <v>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  <c r="O73" s="214">
        <v>0</v>
      </c>
      <c r="P73" s="214">
        <v>0</v>
      </c>
      <c r="Q73" s="214">
        <v>0</v>
      </c>
      <c r="R73" s="214">
        <v>0</v>
      </c>
      <c r="S73" s="214">
        <v>0</v>
      </c>
      <c r="T73" s="214">
        <v>0</v>
      </c>
      <c r="U73" s="214">
        <v>0</v>
      </c>
      <c r="V73" s="214">
        <v>0</v>
      </c>
      <c r="W73" s="214">
        <v>0</v>
      </c>
      <c r="X73" s="214">
        <v>75</v>
      </c>
      <c r="Y73" s="214">
        <v>75</v>
      </c>
      <c r="Z73" s="214">
        <v>75</v>
      </c>
      <c r="AA73" s="214">
        <v>0</v>
      </c>
      <c r="AB73" s="214">
        <v>0</v>
      </c>
      <c r="AC73" s="214">
        <v>0</v>
      </c>
      <c r="AD73" s="214">
        <v>0</v>
      </c>
      <c r="AE73" s="214">
        <v>0</v>
      </c>
      <c r="AF73" s="214">
        <v>0</v>
      </c>
      <c r="AG73" s="214">
        <v>0</v>
      </c>
      <c r="AH73" s="214">
        <v>0</v>
      </c>
      <c r="AI73" s="214">
        <v>0</v>
      </c>
      <c r="AJ73" s="214">
        <v>0</v>
      </c>
      <c r="AK73" s="214">
        <v>0</v>
      </c>
      <c r="AL73" s="214">
        <v>0</v>
      </c>
    </row>
    <row r="74" spans="1:38" x14ac:dyDescent="0.25">
      <c r="A74" s="214" t="s">
        <v>663</v>
      </c>
      <c r="B74" s="214">
        <v>0</v>
      </c>
      <c r="C74" s="214">
        <v>0</v>
      </c>
      <c r="D74" s="214">
        <v>0</v>
      </c>
      <c r="E74" s="214">
        <v>0</v>
      </c>
      <c r="F74" s="214">
        <v>0</v>
      </c>
      <c r="G74" s="214">
        <v>0</v>
      </c>
      <c r="H74" s="214">
        <v>0</v>
      </c>
      <c r="I74" s="214">
        <v>0</v>
      </c>
      <c r="J74" s="214">
        <v>0</v>
      </c>
      <c r="K74" s="214">
        <v>0</v>
      </c>
      <c r="L74" s="214">
        <v>0</v>
      </c>
      <c r="M74" s="214">
        <v>0</v>
      </c>
      <c r="N74" s="214">
        <v>0</v>
      </c>
      <c r="O74" s="214">
        <v>0</v>
      </c>
      <c r="P74" s="214">
        <v>0</v>
      </c>
      <c r="Q74" s="214">
        <v>0</v>
      </c>
      <c r="R74" s="214">
        <v>0</v>
      </c>
      <c r="S74" s="214">
        <v>0</v>
      </c>
      <c r="T74" s="214">
        <v>0</v>
      </c>
      <c r="U74" s="214">
        <v>90</v>
      </c>
      <c r="V74" s="214">
        <v>90</v>
      </c>
      <c r="W74" s="214">
        <v>90</v>
      </c>
      <c r="X74" s="214">
        <v>0</v>
      </c>
      <c r="Y74" s="214">
        <v>93</v>
      </c>
      <c r="Z74" s="214">
        <v>100.5</v>
      </c>
      <c r="AA74" s="214">
        <v>90</v>
      </c>
      <c r="AB74" s="214">
        <v>90</v>
      </c>
      <c r="AC74" s="214">
        <v>0</v>
      </c>
      <c r="AD74" s="214">
        <v>0</v>
      </c>
      <c r="AE74" s="214">
        <v>0</v>
      </c>
      <c r="AF74" s="214">
        <v>0</v>
      </c>
      <c r="AG74" s="214">
        <v>0</v>
      </c>
      <c r="AH74" s="214">
        <v>0</v>
      </c>
      <c r="AI74" s="214">
        <v>0</v>
      </c>
      <c r="AJ74" s="214">
        <v>0</v>
      </c>
      <c r="AK74" s="214">
        <v>0</v>
      </c>
      <c r="AL74" s="214">
        <v>0</v>
      </c>
    </row>
    <row r="75" spans="1:38" x14ac:dyDescent="0.25">
      <c r="A75" s="214" t="s">
        <v>682</v>
      </c>
      <c r="B75" s="214">
        <v>0</v>
      </c>
      <c r="C75" s="214">
        <v>0</v>
      </c>
      <c r="D75" s="214">
        <v>0</v>
      </c>
      <c r="E75" s="214">
        <v>0</v>
      </c>
      <c r="F75" s="214">
        <v>142.5</v>
      </c>
      <c r="G75" s="214">
        <v>142.5</v>
      </c>
      <c r="H75" s="214">
        <v>142.5</v>
      </c>
      <c r="I75" s="214">
        <v>0</v>
      </c>
      <c r="J75" s="214">
        <v>0</v>
      </c>
      <c r="K75" s="214">
        <v>0</v>
      </c>
      <c r="L75" s="214">
        <v>0</v>
      </c>
      <c r="M75" s="214">
        <v>0</v>
      </c>
      <c r="N75" s="214">
        <v>0</v>
      </c>
      <c r="O75" s="214">
        <v>0</v>
      </c>
      <c r="P75" s="214">
        <v>0</v>
      </c>
      <c r="Q75" s="214">
        <v>0</v>
      </c>
      <c r="R75" s="214">
        <v>0</v>
      </c>
      <c r="S75" s="214">
        <v>0</v>
      </c>
      <c r="T75" s="214">
        <v>0</v>
      </c>
      <c r="U75" s="214">
        <v>0</v>
      </c>
      <c r="V75" s="214">
        <v>0</v>
      </c>
      <c r="W75" s="214">
        <v>0</v>
      </c>
      <c r="X75" s="214">
        <v>75</v>
      </c>
      <c r="Y75" s="214">
        <v>105</v>
      </c>
      <c r="Z75" s="214">
        <v>130</v>
      </c>
      <c r="AA75" s="214">
        <v>0</v>
      </c>
      <c r="AB75" s="214">
        <v>0</v>
      </c>
      <c r="AC75" s="214">
        <v>0</v>
      </c>
      <c r="AD75" s="214">
        <v>0</v>
      </c>
      <c r="AE75" s="214">
        <v>0</v>
      </c>
      <c r="AF75" s="214">
        <v>0</v>
      </c>
      <c r="AG75" s="214">
        <v>0</v>
      </c>
      <c r="AH75" s="214">
        <v>0</v>
      </c>
      <c r="AI75" s="214">
        <v>0</v>
      </c>
      <c r="AJ75" s="214">
        <v>0</v>
      </c>
      <c r="AK75" s="214">
        <v>0</v>
      </c>
      <c r="AL75" s="214">
        <v>0</v>
      </c>
    </row>
    <row r="76" spans="1:38" x14ac:dyDescent="0.25">
      <c r="A76" s="214" t="s">
        <v>681</v>
      </c>
      <c r="B76" s="214">
        <v>0</v>
      </c>
      <c r="C76" s="214">
        <v>0</v>
      </c>
      <c r="D76" s="214">
        <v>0</v>
      </c>
      <c r="E76" s="214">
        <v>0</v>
      </c>
      <c r="F76" s="214">
        <v>0</v>
      </c>
      <c r="G76" s="214">
        <v>0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214">
        <v>0</v>
      </c>
      <c r="P76" s="214">
        <v>0</v>
      </c>
      <c r="Q76" s="214">
        <v>0</v>
      </c>
      <c r="R76" s="214">
        <v>0</v>
      </c>
      <c r="S76" s="214">
        <v>0</v>
      </c>
      <c r="T76" s="214">
        <v>0</v>
      </c>
      <c r="U76" s="214">
        <v>97.5</v>
      </c>
      <c r="V76" s="214">
        <v>97.5</v>
      </c>
      <c r="W76" s="214">
        <v>97.5</v>
      </c>
      <c r="X76" s="214">
        <v>55</v>
      </c>
      <c r="Y76" s="214">
        <v>87.5</v>
      </c>
      <c r="Z76" s="214">
        <v>137.5</v>
      </c>
      <c r="AA76" s="214">
        <v>97.5</v>
      </c>
      <c r="AB76" s="214">
        <v>97.5</v>
      </c>
      <c r="AC76" s="214">
        <v>0</v>
      </c>
      <c r="AD76" s="214">
        <v>0</v>
      </c>
      <c r="AE76" s="214">
        <v>0</v>
      </c>
      <c r="AF76" s="214">
        <v>0</v>
      </c>
      <c r="AG76" s="214">
        <v>0</v>
      </c>
      <c r="AH76" s="214">
        <v>0</v>
      </c>
      <c r="AI76" s="214">
        <v>0</v>
      </c>
      <c r="AJ76" s="214">
        <v>0</v>
      </c>
      <c r="AK76" s="214">
        <v>0</v>
      </c>
      <c r="AL76" s="214">
        <v>0</v>
      </c>
    </row>
    <row r="77" spans="1:38" x14ac:dyDescent="0.25">
      <c r="A77" s="214" t="s">
        <v>248</v>
      </c>
      <c r="B77" s="214">
        <v>0</v>
      </c>
      <c r="C77" s="214">
        <v>97.5</v>
      </c>
      <c r="D77" s="214">
        <v>120</v>
      </c>
      <c r="E77" s="214">
        <v>195</v>
      </c>
      <c r="F77" s="214">
        <v>207.5</v>
      </c>
      <c r="G77" s="214">
        <v>230</v>
      </c>
      <c r="H77" s="214">
        <v>257.5</v>
      </c>
      <c r="I77" s="214">
        <v>237.5</v>
      </c>
      <c r="J77" s="214">
        <v>0</v>
      </c>
      <c r="K77" s="214">
        <v>0</v>
      </c>
      <c r="L77" s="214">
        <v>0</v>
      </c>
      <c r="M77" s="214">
        <v>0</v>
      </c>
      <c r="N77" s="214">
        <v>0</v>
      </c>
      <c r="O77" s="214">
        <v>0</v>
      </c>
      <c r="P77" s="214">
        <v>0</v>
      </c>
      <c r="Q77" s="214">
        <v>0</v>
      </c>
      <c r="R77" s="214">
        <v>0</v>
      </c>
      <c r="S77" s="214">
        <v>0</v>
      </c>
      <c r="T77" s="214">
        <v>0</v>
      </c>
      <c r="U77" s="214">
        <v>201</v>
      </c>
      <c r="V77" s="214">
        <v>201</v>
      </c>
      <c r="W77" s="214">
        <v>230</v>
      </c>
      <c r="X77" s="214">
        <v>52.5</v>
      </c>
      <c r="Y77" s="214">
        <v>112.5</v>
      </c>
      <c r="Z77" s="214">
        <v>140</v>
      </c>
      <c r="AA77" s="214">
        <v>271.5</v>
      </c>
      <c r="AB77" s="214">
        <v>232.5</v>
      </c>
      <c r="AC77" s="214">
        <v>0</v>
      </c>
      <c r="AD77" s="214">
        <v>0</v>
      </c>
      <c r="AE77" s="214">
        <v>0</v>
      </c>
      <c r="AF77" s="214">
        <v>0</v>
      </c>
      <c r="AG77" s="214">
        <v>0</v>
      </c>
      <c r="AH77" s="214">
        <v>0</v>
      </c>
      <c r="AI77" s="214">
        <v>0</v>
      </c>
      <c r="AJ77" s="214">
        <v>0</v>
      </c>
      <c r="AK77" s="214">
        <v>0</v>
      </c>
      <c r="AL77" s="214">
        <v>0</v>
      </c>
    </row>
    <row r="78" spans="1:38" x14ac:dyDescent="0.25">
      <c r="A78" s="214" t="s">
        <v>249</v>
      </c>
      <c r="B78" s="214">
        <v>0</v>
      </c>
      <c r="C78" s="214">
        <v>0</v>
      </c>
      <c r="D78" s="214">
        <v>115</v>
      </c>
      <c r="E78" s="214">
        <v>205</v>
      </c>
      <c r="F78" s="214">
        <v>217.5</v>
      </c>
      <c r="G78" s="214">
        <v>227.5</v>
      </c>
      <c r="H78" s="214">
        <v>258.5</v>
      </c>
      <c r="I78" s="214">
        <v>262.5</v>
      </c>
      <c r="J78" s="214">
        <v>255</v>
      </c>
      <c r="K78" s="214">
        <v>255</v>
      </c>
      <c r="L78" s="214">
        <v>252.5</v>
      </c>
      <c r="M78" s="214">
        <v>177.5</v>
      </c>
      <c r="N78" s="214">
        <v>177.5</v>
      </c>
      <c r="O78" s="214">
        <v>177.5</v>
      </c>
      <c r="P78" s="214">
        <v>177.5</v>
      </c>
      <c r="Q78" s="214">
        <v>0</v>
      </c>
      <c r="R78" s="214">
        <v>0</v>
      </c>
      <c r="S78" s="214">
        <v>0</v>
      </c>
      <c r="T78" s="214">
        <v>0</v>
      </c>
      <c r="U78" s="214">
        <v>201</v>
      </c>
      <c r="V78" s="214">
        <v>217.5</v>
      </c>
      <c r="W78" s="214">
        <v>242.5</v>
      </c>
      <c r="X78" s="214">
        <v>60</v>
      </c>
      <c r="Y78" s="214">
        <v>100</v>
      </c>
      <c r="Z78" s="214">
        <v>137.5</v>
      </c>
      <c r="AA78" s="214">
        <v>250</v>
      </c>
      <c r="AB78" s="214">
        <v>252.5</v>
      </c>
      <c r="AC78" s="214">
        <v>252.5</v>
      </c>
      <c r="AD78" s="214">
        <v>252.5</v>
      </c>
      <c r="AE78" s="214">
        <v>252.5</v>
      </c>
      <c r="AF78" s="214">
        <v>201</v>
      </c>
      <c r="AG78" s="214">
        <v>201</v>
      </c>
      <c r="AH78" s="214">
        <v>137.5</v>
      </c>
      <c r="AI78" s="214">
        <v>160</v>
      </c>
      <c r="AJ78" s="214">
        <v>102.5</v>
      </c>
      <c r="AK78" s="214">
        <v>102.5</v>
      </c>
      <c r="AL78" s="214">
        <v>0</v>
      </c>
    </row>
    <row r="79" spans="1:38" x14ac:dyDescent="0.25">
      <c r="A79" s="214" t="s">
        <v>250</v>
      </c>
      <c r="B79" s="214">
        <v>0</v>
      </c>
      <c r="C79" s="214">
        <v>0</v>
      </c>
      <c r="D79" s="214">
        <v>0</v>
      </c>
      <c r="E79" s="214">
        <v>220</v>
      </c>
      <c r="F79" s="214">
        <v>240</v>
      </c>
      <c r="G79" s="214">
        <v>260</v>
      </c>
      <c r="H79" s="214">
        <v>275</v>
      </c>
      <c r="I79" s="214">
        <v>277.5</v>
      </c>
      <c r="J79" s="214">
        <v>272.2</v>
      </c>
      <c r="K79" s="214">
        <v>272.2</v>
      </c>
      <c r="L79" s="214">
        <v>272.2</v>
      </c>
      <c r="M79" s="214">
        <v>225</v>
      </c>
      <c r="N79" s="214">
        <v>210</v>
      </c>
      <c r="O79" s="214">
        <v>210</v>
      </c>
      <c r="P79" s="214">
        <v>157.5</v>
      </c>
      <c r="Q79" s="214">
        <v>0</v>
      </c>
      <c r="R79" s="214">
        <v>0</v>
      </c>
      <c r="S79" s="214">
        <v>0</v>
      </c>
      <c r="T79" s="214">
        <v>0</v>
      </c>
      <c r="U79" s="214">
        <v>205</v>
      </c>
      <c r="V79" s="214">
        <v>212.5</v>
      </c>
      <c r="W79" s="214">
        <v>228</v>
      </c>
      <c r="X79" s="214">
        <v>0</v>
      </c>
      <c r="Y79" s="214">
        <v>75</v>
      </c>
      <c r="Z79" s="214">
        <v>155</v>
      </c>
      <c r="AA79" s="214">
        <v>270</v>
      </c>
      <c r="AB79" s="214">
        <v>277.5</v>
      </c>
      <c r="AC79" s="214">
        <v>262.5</v>
      </c>
      <c r="AD79" s="214">
        <v>235</v>
      </c>
      <c r="AE79" s="214">
        <v>230</v>
      </c>
      <c r="AF79" s="214">
        <v>205</v>
      </c>
      <c r="AG79" s="214">
        <v>190</v>
      </c>
      <c r="AH79" s="214">
        <v>150.5</v>
      </c>
      <c r="AI79" s="214">
        <v>150.5</v>
      </c>
      <c r="AJ79" s="214">
        <v>122.5</v>
      </c>
      <c r="AK79" s="214">
        <v>100</v>
      </c>
      <c r="AL79" s="214">
        <v>100</v>
      </c>
    </row>
    <row r="80" spans="1:38" x14ac:dyDescent="0.25">
      <c r="A80" s="214" t="s">
        <v>251</v>
      </c>
      <c r="B80" s="214">
        <v>0</v>
      </c>
      <c r="C80" s="214">
        <v>0</v>
      </c>
      <c r="D80" s="214">
        <v>0</v>
      </c>
      <c r="E80" s="214">
        <v>227.5</v>
      </c>
      <c r="F80" s="214">
        <v>292.60000000000002</v>
      </c>
      <c r="G80" s="214">
        <v>297.5</v>
      </c>
      <c r="H80" s="214">
        <v>330</v>
      </c>
      <c r="I80" s="214">
        <v>330</v>
      </c>
      <c r="J80" s="214">
        <v>302.5</v>
      </c>
      <c r="K80" s="214">
        <v>265</v>
      </c>
      <c r="L80" s="214">
        <v>272.5</v>
      </c>
      <c r="M80" s="214">
        <v>255</v>
      </c>
      <c r="N80" s="214">
        <v>230</v>
      </c>
      <c r="O80" s="214">
        <v>225</v>
      </c>
      <c r="P80" s="214">
        <v>220</v>
      </c>
      <c r="Q80" s="214">
        <v>197.5</v>
      </c>
      <c r="R80" s="214">
        <v>125</v>
      </c>
      <c r="S80" s="214">
        <v>0</v>
      </c>
      <c r="T80" s="214">
        <v>0</v>
      </c>
      <c r="U80" s="214">
        <v>192.5</v>
      </c>
      <c r="V80" s="214">
        <v>252.5</v>
      </c>
      <c r="W80" s="214">
        <v>280.5</v>
      </c>
      <c r="X80" s="214">
        <v>0</v>
      </c>
      <c r="Y80" s="214">
        <v>0</v>
      </c>
      <c r="Z80" s="214">
        <v>182.5</v>
      </c>
      <c r="AA80" s="214">
        <v>305</v>
      </c>
      <c r="AB80" s="214">
        <v>307.5</v>
      </c>
      <c r="AC80" s="214">
        <v>307.5</v>
      </c>
      <c r="AD80" s="214">
        <v>240</v>
      </c>
      <c r="AE80" s="214">
        <v>240</v>
      </c>
      <c r="AF80" s="214">
        <v>240</v>
      </c>
      <c r="AG80" s="214">
        <v>202.5</v>
      </c>
      <c r="AH80" s="214">
        <v>195</v>
      </c>
      <c r="AI80" s="214">
        <v>195</v>
      </c>
      <c r="AJ80" s="214">
        <v>167.5</v>
      </c>
      <c r="AK80" s="214">
        <v>155</v>
      </c>
      <c r="AL80" s="214">
        <v>0</v>
      </c>
    </row>
    <row r="81" spans="1:38" x14ac:dyDescent="0.25">
      <c r="A81" s="214" t="s">
        <v>252</v>
      </c>
      <c r="B81" s="214">
        <v>0</v>
      </c>
      <c r="C81" s="214">
        <v>0</v>
      </c>
      <c r="D81" s="214">
        <v>0</v>
      </c>
      <c r="E81" s="214">
        <v>277.5</v>
      </c>
      <c r="F81" s="214">
        <v>310</v>
      </c>
      <c r="G81" s="214">
        <v>312.5</v>
      </c>
      <c r="H81" s="214">
        <v>327.5</v>
      </c>
      <c r="I81" s="214">
        <v>340</v>
      </c>
      <c r="J81" s="214">
        <v>332.5</v>
      </c>
      <c r="K81" s="214">
        <v>320</v>
      </c>
      <c r="L81" s="214">
        <v>320</v>
      </c>
      <c r="M81" s="214">
        <v>307.5</v>
      </c>
      <c r="N81" s="214">
        <v>255</v>
      </c>
      <c r="O81" s="214">
        <v>245</v>
      </c>
      <c r="P81" s="214">
        <v>230</v>
      </c>
      <c r="Q81" s="214">
        <v>192.5</v>
      </c>
      <c r="R81" s="214">
        <v>190</v>
      </c>
      <c r="S81" s="214">
        <v>175</v>
      </c>
      <c r="T81" s="214">
        <v>0</v>
      </c>
      <c r="U81" s="214">
        <v>227.5</v>
      </c>
      <c r="V81" s="214">
        <v>282.5</v>
      </c>
      <c r="W81" s="214">
        <v>317.5</v>
      </c>
      <c r="X81" s="214">
        <v>0</v>
      </c>
      <c r="Y81" s="214">
        <v>0</v>
      </c>
      <c r="Z81" s="214">
        <v>180</v>
      </c>
      <c r="AA81" s="214">
        <v>320.5</v>
      </c>
      <c r="AB81" s="214">
        <v>340</v>
      </c>
      <c r="AC81" s="214">
        <v>290</v>
      </c>
      <c r="AD81" s="214">
        <v>287.5</v>
      </c>
      <c r="AE81" s="214">
        <v>285</v>
      </c>
      <c r="AF81" s="214">
        <v>277.5</v>
      </c>
      <c r="AG81" s="214">
        <v>240</v>
      </c>
      <c r="AH81" s="214">
        <v>240</v>
      </c>
      <c r="AI81" s="214">
        <v>213.5</v>
      </c>
      <c r="AJ81" s="214">
        <v>185</v>
      </c>
      <c r="AK81" s="214">
        <v>182.5</v>
      </c>
      <c r="AL81" s="214">
        <v>117.5</v>
      </c>
    </row>
    <row r="82" spans="1:38" x14ac:dyDescent="0.25">
      <c r="A82" s="214" t="s">
        <v>253</v>
      </c>
      <c r="B82" s="214">
        <v>0</v>
      </c>
      <c r="C82" s="214">
        <v>92.5</v>
      </c>
      <c r="D82" s="214">
        <v>0</v>
      </c>
      <c r="E82" s="214">
        <v>257.5</v>
      </c>
      <c r="F82" s="214">
        <v>322.5</v>
      </c>
      <c r="G82" s="214">
        <v>367.5</v>
      </c>
      <c r="H82" s="214">
        <v>377.5</v>
      </c>
      <c r="I82" s="214">
        <v>377.5</v>
      </c>
      <c r="J82" s="214">
        <v>349.3</v>
      </c>
      <c r="K82" s="214">
        <v>332.5</v>
      </c>
      <c r="L82" s="214">
        <v>328</v>
      </c>
      <c r="M82" s="214">
        <v>325</v>
      </c>
      <c r="N82" s="214">
        <v>265</v>
      </c>
      <c r="O82" s="214">
        <v>260</v>
      </c>
      <c r="P82" s="214">
        <v>245</v>
      </c>
      <c r="Q82" s="214">
        <v>200</v>
      </c>
      <c r="R82" s="214">
        <v>172.5</v>
      </c>
      <c r="S82" s="214">
        <v>125</v>
      </c>
      <c r="T82" s="214">
        <v>0</v>
      </c>
      <c r="U82" s="214">
        <v>237.5</v>
      </c>
      <c r="V82" s="214">
        <v>317.5</v>
      </c>
      <c r="W82" s="214">
        <v>327.5</v>
      </c>
      <c r="X82" s="214">
        <v>0</v>
      </c>
      <c r="Y82" s="214">
        <v>77.5</v>
      </c>
      <c r="Z82" s="214">
        <v>170</v>
      </c>
      <c r="AA82" s="214">
        <v>352.5</v>
      </c>
      <c r="AB82" s="214">
        <v>352.5</v>
      </c>
      <c r="AC82" s="214">
        <v>320</v>
      </c>
      <c r="AD82" s="214">
        <v>312.5</v>
      </c>
      <c r="AE82" s="214">
        <v>312.5</v>
      </c>
      <c r="AF82" s="214">
        <v>312.5</v>
      </c>
      <c r="AG82" s="214">
        <v>277</v>
      </c>
      <c r="AH82" s="214">
        <v>263.10000000000002</v>
      </c>
      <c r="AI82" s="214">
        <v>220</v>
      </c>
      <c r="AJ82" s="214">
        <v>180.5</v>
      </c>
      <c r="AK82" s="214">
        <v>180.5</v>
      </c>
      <c r="AL82" s="214">
        <v>0</v>
      </c>
    </row>
    <row r="83" spans="1:38" x14ac:dyDescent="0.25">
      <c r="A83" s="214" t="s">
        <v>254</v>
      </c>
      <c r="B83" s="214">
        <v>0</v>
      </c>
      <c r="C83" s="214">
        <v>0</v>
      </c>
      <c r="D83" s="214">
        <v>0</v>
      </c>
      <c r="E83" s="214">
        <v>262.5</v>
      </c>
      <c r="F83" s="214">
        <v>300</v>
      </c>
      <c r="G83" s="214">
        <v>322.10000000000002</v>
      </c>
      <c r="H83" s="214">
        <v>382.5</v>
      </c>
      <c r="I83" s="214">
        <v>387.5</v>
      </c>
      <c r="J83" s="214">
        <v>335</v>
      </c>
      <c r="K83" s="214">
        <v>307.5</v>
      </c>
      <c r="L83" s="214">
        <v>307.5</v>
      </c>
      <c r="M83" s="214">
        <v>305</v>
      </c>
      <c r="N83" s="214">
        <v>315</v>
      </c>
      <c r="O83" s="214">
        <v>260</v>
      </c>
      <c r="P83" s="214">
        <v>253</v>
      </c>
      <c r="Q83" s="214">
        <v>220</v>
      </c>
      <c r="R83" s="214">
        <v>0</v>
      </c>
      <c r="S83" s="214">
        <v>0</v>
      </c>
      <c r="T83" s="214">
        <v>0</v>
      </c>
      <c r="U83" s="214">
        <v>245</v>
      </c>
      <c r="V83" s="214">
        <v>287.5</v>
      </c>
      <c r="W83" s="214">
        <v>325</v>
      </c>
      <c r="X83" s="214">
        <v>0</v>
      </c>
      <c r="Y83" s="214">
        <v>0</v>
      </c>
      <c r="Z83" s="214">
        <v>157.5</v>
      </c>
      <c r="AA83" s="214">
        <v>347.5</v>
      </c>
      <c r="AB83" s="214">
        <v>367.5</v>
      </c>
      <c r="AC83" s="214">
        <v>315</v>
      </c>
      <c r="AD83" s="214">
        <v>295</v>
      </c>
      <c r="AE83" s="214">
        <v>295</v>
      </c>
      <c r="AF83" s="214">
        <v>295</v>
      </c>
      <c r="AG83" s="214">
        <v>277.5</v>
      </c>
      <c r="AH83" s="214">
        <v>230.5</v>
      </c>
      <c r="AI83" s="214">
        <v>210</v>
      </c>
      <c r="AJ83" s="214">
        <v>200</v>
      </c>
      <c r="AK83" s="214">
        <v>0</v>
      </c>
      <c r="AL83" s="214">
        <v>0</v>
      </c>
    </row>
    <row r="84" spans="1:38" x14ac:dyDescent="0.25">
      <c r="A84" s="214" t="s">
        <v>255</v>
      </c>
      <c r="B84" s="214">
        <v>0</v>
      </c>
      <c r="C84" s="214">
        <v>0</v>
      </c>
      <c r="D84" s="214">
        <v>0</v>
      </c>
      <c r="E84" s="214">
        <v>690</v>
      </c>
      <c r="F84" s="214">
        <v>690</v>
      </c>
      <c r="G84" s="214">
        <v>690</v>
      </c>
      <c r="H84" s="214">
        <v>690</v>
      </c>
      <c r="I84" s="214">
        <v>372.5</v>
      </c>
      <c r="J84" s="214">
        <v>355.5</v>
      </c>
      <c r="K84" s="214">
        <v>355.5</v>
      </c>
      <c r="L84" s="214">
        <v>347.5</v>
      </c>
      <c r="M84" s="214">
        <v>301.60000000000002</v>
      </c>
      <c r="N84" s="214">
        <v>320</v>
      </c>
      <c r="O84" s="214">
        <v>281.5</v>
      </c>
      <c r="P84" s="214">
        <v>260</v>
      </c>
      <c r="Q84" s="214">
        <v>0</v>
      </c>
      <c r="R84" s="214">
        <v>0</v>
      </c>
      <c r="S84" s="214">
        <v>0</v>
      </c>
      <c r="T84" s="214">
        <v>0</v>
      </c>
      <c r="U84" s="214">
        <v>255</v>
      </c>
      <c r="V84" s="214">
        <v>282.5</v>
      </c>
      <c r="W84" s="214">
        <v>306.2</v>
      </c>
      <c r="X84" s="214">
        <v>0</v>
      </c>
      <c r="Y84" s="214">
        <v>0</v>
      </c>
      <c r="Z84" s="214">
        <v>155</v>
      </c>
      <c r="AA84" s="214">
        <v>365</v>
      </c>
      <c r="AB84" s="214">
        <v>372</v>
      </c>
      <c r="AC84" s="214">
        <v>372</v>
      </c>
      <c r="AD84" s="214">
        <v>372</v>
      </c>
      <c r="AE84" s="214">
        <v>342.5</v>
      </c>
      <c r="AF84" s="214">
        <v>292.5</v>
      </c>
      <c r="AG84" s="214">
        <v>280</v>
      </c>
      <c r="AH84" s="214">
        <v>280</v>
      </c>
      <c r="AI84" s="214">
        <v>230</v>
      </c>
      <c r="AJ84" s="214">
        <v>177.5</v>
      </c>
      <c r="AK84" s="214">
        <v>0</v>
      </c>
      <c r="AL84" s="214">
        <v>0</v>
      </c>
    </row>
    <row r="85" spans="1:38" x14ac:dyDescent="0.25">
      <c r="A85" s="214" t="s">
        <v>256</v>
      </c>
      <c r="B85" s="214">
        <v>0</v>
      </c>
      <c r="C85" s="214">
        <v>0</v>
      </c>
      <c r="D85" s="214">
        <v>0</v>
      </c>
      <c r="E85" s="214">
        <v>272.5</v>
      </c>
      <c r="F85" s="214">
        <v>319.8</v>
      </c>
      <c r="G85" s="214">
        <v>320</v>
      </c>
      <c r="H85" s="214">
        <v>385.6</v>
      </c>
      <c r="I85" s="214">
        <v>410</v>
      </c>
      <c r="J85" s="214">
        <v>400</v>
      </c>
      <c r="K85" s="214">
        <v>362.9</v>
      </c>
      <c r="L85" s="214">
        <v>320</v>
      </c>
      <c r="M85" s="214">
        <v>320</v>
      </c>
      <c r="N85" s="214">
        <v>290</v>
      </c>
      <c r="O85" s="214">
        <v>257.5</v>
      </c>
      <c r="P85" s="214">
        <v>190</v>
      </c>
      <c r="Q85" s="214">
        <v>142.5</v>
      </c>
      <c r="R85" s="214">
        <v>0</v>
      </c>
      <c r="S85" s="214">
        <v>0</v>
      </c>
      <c r="T85" s="214">
        <v>0</v>
      </c>
      <c r="U85" s="214">
        <v>267.5</v>
      </c>
      <c r="V85" s="214">
        <v>287.5</v>
      </c>
      <c r="W85" s="214">
        <v>306</v>
      </c>
      <c r="X85" s="214">
        <v>0</v>
      </c>
      <c r="Y85" s="214">
        <v>220</v>
      </c>
      <c r="Z85" s="214">
        <v>220</v>
      </c>
      <c r="AA85" s="214">
        <v>335.5</v>
      </c>
      <c r="AB85" s="214">
        <v>392.5</v>
      </c>
      <c r="AC85" s="214">
        <v>380</v>
      </c>
      <c r="AD85" s="214">
        <v>380</v>
      </c>
      <c r="AE85" s="214">
        <v>325</v>
      </c>
      <c r="AF85" s="214">
        <v>280</v>
      </c>
      <c r="AG85" s="214">
        <v>251.8</v>
      </c>
      <c r="AH85" s="214">
        <v>245</v>
      </c>
      <c r="AI85" s="214">
        <v>182.5</v>
      </c>
      <c r="AJ85" s="214">
        <v>142.5</v>
      </c>
      <c r="AK85" s="214">
        <v>0</v>
      </c>
      <c r="AL85" s="214">
        <v>0</v>
      </c>
    </row>
    <row r="86" spans="1:38" x14ac:dyDescent="0.25">
      <c r="A86" s="214" t="s">
        <v>680</v>
      </c>
      <c r="B86" s="214">
        <v>0</v>
      </c>
      <c r="C86" s="214">
        <v>0</v>
      </c>
      <c r="D86" s="214">
        <v>0</v>
      </c>
      <c r="E86" s="214">
        <v>0</v>
      </c>
      <c r="F86" s="214">
        <v>0</v>
      </c>
      <c r="G86" s="214">
        <v>0</v>
      </c>
      <c r="H86" s="214">
        <v>0</v>
      </c>
      <c r="I86" s="214">
        <v>0</v>
      </c>
      <c r="J86" s="214">
        <v>0</v>
      </c>
      <c r="K86" s="214">
        <v>0</v>
      </c>
      <c r="L86" s="214">
        <v>0</v>
      </c>
      <c r="M86" s="214">
        <v>0</v>
      </c>
      <c r="N86" s="214">
        <v>0</v>
      </c>
      <c r="O86" s="214">
        <v>0</v>
      </c>
      <c r="P86" s="214">
        <v>0</v>
      </c>
      <c r="Q86" s="214">
        <v>0</v>
      </c>
      <c r="R86" s="214">
        <v>0</v>
      </c>
      <c r="S86" s="214">
        <v>0</v>
      </c>
      <c r="T86" s="214">
        <v>0</v>
      </c>
      <c r="U86" s="214">
        <v>0</v>
      </c>
      <c r="V86" s="214">
        <v>0</v>
      </c>
      <c r="W86" s="214">
        <v>0</v>
      </c>
      <c r="X86" s="214">
        <v>47.5</v>
      </c>
      <c r="Y86" s="214">
        <v>47.5</v>
      </c>
      <c r="Z86" s="214">
        <v>47.5</v>
      </c>
      <c r="AA86" s="214">
        <v>0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  <c r="AG86" s="214">
        <v>0</v>
      </c>
      <c r="AH86" s="214">
        <v>0</v>
      </c>
      <c r="AI86" s="214">
        <v>0</v>
      </c>
      <c r="AJ86" s="214">
        <v>0</v>
      </c>
      <c r="AK86" s="214">
        <v>0</v>
      </c>
      <c r="AL86" s="214">
        <v>0</v>
      </c>
    </row>
    <row r="87" spans="1:38" x14ac:dyDescent="0.25">
      <c r="A87" s="214" t="s">
        <v>679</v>
      </c>
      <c r="B87" s="214">
        <v>0</v>
      </c>
      <c r="C87" s="214">
        <v>0</v>
      </c>
      <c r="D87" s="214">
        <v>0</v>
      </c>
      <c r="E87" s="214">
        <v>0</v>
      </c>
      <c r="F87" s="214">
        <v>0</v>
      </c>
      <c r="G87" s="214">
        <v>0</v>
      </c>
      <c r="H87" s="214">
        <v>0</v>
      </c>
      <c r="I87" s="214">
        <v>0</v>
      </c>
      <c r="J87" s="214">
        <v>0</v>
      </c>
      <c r="K87" s="214">
        <v>0</v>
      </c>
      <c r="L87" s="214">
        <v>0</v>
      </c>
      <c r="M87" s="214">
        <v>0</v>
      </c>
      <c r="N87" s="214">
        <v>0</v>
      </c>
      <c r="O87" s="214">
        <v>0</v>
      </c>
      <c r="P87" s="214">
        <v>0</v>
      </c>
      <c r="Q87" s="214">
        <v>0</v>
      </c>
      <c r="R87" s="214">
        <v>0</v>
      </c>
      <c r="S87" s="214">
        <v>0</v>
      </c>
      <c r="T87" s="214">
        <v>0</v>
      </c>
      <c r="U87" s="214">
        <v>0</v>
      </c>
      <c r="V87" s="214">
        <v>0</v>
      </c>
      <c r="W87" s="214">
        <v>0</v>
      </c>
      <c r="X87" s="214">
        <v>25</v>
      </c>
      <c r="Y87" s="214">
        <v>25.5</v>
      </c>
      <c r="Z87" s="214">
        <v>25.5</v>
      </c>
      <c r="AA87" s="214">
        <v>0</v>
      </c>
      <c r="AB87" s="214">
        <v>0</v>
      </c>
      <c r="AC87" s="214">
        <v>0</v>
      </c>
      <c r="AD87" s="214">
        <v>0</v>
      </c>
      <c r="AE87" s="214">
        <v>0</v>
      </c>
      <c r="AF87" s="214">
        <v>0</v>
      </c>
      <c r="AG87" s="214">
        <v>0</v>
      </c>
      <c r="AH87" s="214">
        <v>0</v>
      </c>
      <c r="AI87" s="214">
        <v>0</v>
      </c>
      <c r="AJ87" s="214">
        <v>0</v>
      </c>
      <c r="AK87" s="214">
        <v>0</v>
      </c>
      <c r="AL87" s="214">
        <v>0</v>
      </c>
    </row>
    <row r="88" spans="1:38" x14ac:dyDescent="0.25">
      <c r="A88" s="214" t="s">
        <v>678</v>
      </c>
      <c r="B88" s="214">
        <v>0</v>
      </c>
      <c r="C88" s="214">
        <v>0</v>
      </c>
      <c r="D88" s="214">
        <v>0</v>
      </c>
      <c r="E88" s="214">
        <v>0</v>
      </c>
      <c r="F88" s="214">
        <v>0</v>
      </c>
      <c r="G88" s="214">
        <v>0</v>
      </c>
      <c r="H88" s="214">
        <v>0</v>
      </c>
      <c r="I88" s="214">
        <v>0</v>
      </c>
      <c r="J88" s="214">
        <v>0</v>
      </c>
      <c r="K88" s="214">
        <v>0</v>
      </c>
      <c r="L88" s="214">
        <v>0</v>
      </c>
      <c r="M88" s="214">
        <v>0</v>
      </c>
      <c r="N88" s="214">
        <v>0</v>
      </c>
      <c r="O88" s="214">
        <v>0</v>
      </c>
      <c r="P88" s="214">
        <v>0</v>
      </c>
      <c r="Q88" s="214">
        <v>0</v>
      </c>
      <c r="R88" s="214">
        <v>0</v>
      </c>
      <c r="S88" s="214">
        <v>0</v>
      </c>
      <c r="T88" s="214">
        <v>0</v>
      </c>
      <c r="U88" s="214">
        <v>0</v>
      </c>
      <c r="V88" s="214">
        <v>0</v>
      </c>
      <c r="W88" s="214">
        <v>0</v>
      </c>
      <c r="X88" s="214">
        <v>60</v>
      </c>
      <c r="Y88" s="214">
        <v>65</v>
      </c>
      <c r="Z88" s="214">
        <v>65</v>
      </c>
      <c r="AA88" s="214">
        <v>0</v>
      </c>
      <c r="AB88" s="214">
        <v>0</v>
      </c>
      <c r="AC88" s="214">
        <v>0</v>
      </c>
      <c r="AD88" s="214">
        <v>0</v>
      </c>
      <c r="AE88" s="214">
        <v>0</v>
      </c>
      <c r="AF88" s="214">
        <v>0</v>
      </c>
      <c r="AG88" s="214">
        <v>0</v>
      </c>
      <c r="AH88" s="214">
        <v>0</v>
      </c>
      <c r="AI88" s="214">
        <v>0</v>
      </c>
      <c r="AJ88" s="214">
        <v>0</v>
      </c>
      <c r="AK88" s="214">
        <v>0</v>
      </c>
      <c r="AL88" s="214">
        <v>0</v>
      </c>
    </row>
    <row r="89" spans="1:38" x14ac:dyDescent="0.25">
      <c r="A89" s="214" t="s">
        <v>677</v>
      </c>
      <c r="B89" s="214">
        <v>0</v>
      </c>
      <c r="C89" s="214">
        <v>0</v>
      </c>
      <c r="D89" s="214">
        <v>0</v>
      </c>
      <c r="E89" s="214">
        <v>0</v>
      </c>
      <c r="F89" s="214">
        <v>0</v>
      </c>
      <c r="G89" s="214">
        <v>0</v>
      </c>
      <c r="H89" s="214">
        <v>0</v>
      </c>
      <c r="I89" s="214">
        <v>0</v>
      </c>
      <c r="J89" s="214">
        <v>0</v>
      </c>
      <c r="K89" s="214">
        <v>0</v>
      </c>
      <c r="L89" s="214">
        <v>0</v>
      </c>
      <c r="M89" s="214">
        <v>0</v>
      </c>
      <c r="N89" s="214">
        <v>0</v>
      </c>
      <c r="O89" s="214">
        <v>0</v>
      </c>
      <c r="P89" s="214">
        <v>0</v>
      </c>
      <c r="Q89" s="214">
        <v>0</v>
      </c>
      <c r="R89" s="214">
        <v>0</v>
      </c>
      <c r="S89" s="214">
        <v>0</v>
      </c>
      <c r="T89" s="214">
        <v>0</v>
      </c>
      <c r="U89" s="214">
        <v>0</v>
      </c>
      <c r="V89" s="214">
        <v>0</v>
      </c>
      <c r="W89" s="214">
        <v>0</v>
      </c>
      <c r="X89" s="214">
        <v>122.5</v>
      </c>
      <c r="Y89" s="214">
        <v>135.5</v>
      </c>
      <c r="Z89" s="214">
        <v>135.5</v>
      </c>
      <c r="AA89" s="214">
        <v>0</v>
      </c>
      <c r="AB89" s="214">
        <v>0</v>
      </c>
      <c r="AC89" s="214">
        <v>0</v>
      </c>
      <c r="AD89" s="214">
        <v>0</v>
      </c>
      <c r="AE89" s="214">
        <v>0</v>
      </c>
      <c r="AF89" s="214">
        <v>0</v>
      </c>
      <c r="AG89" s="214">
        <v>0</v>
      </c>
      <c r="AH89" s="214">
        <v>0</v>
      </c>
      <c r="AI89" s="214">
        <v>0</v>
      </c>
      <c r="AJ89" s="214">
        <v>0</v>
      </c>
      <c r="AK89" s="214">
        <v>0</v>
      </c>
      <c r="AL89" s="214">
        <v>0</v>
      </c>
    </row>
    <row r="90" spans="1:38" x14ac:dyDescent="0.25">
      <c r="A90" s="214" t="s">
        <v>676</v>
      </c>
      <c r="B90" s="214">
        <v>45</v>
      </c>
      <c r="C90" s="214">
        <v>0</v>
      </c>
      <c r="D90" s="214">
        <v>0</v>
      </c>
      <c r="E90" s="214">
        <v>0</v>
      </c>
      <c r="F90" s="214">
        <v>0</v>
      </c>
      <c r="G90" s="214">
        <v>0</v>
      </c>
      <c r="H90" s="214">
        <v>0</v>
      </c>
      <c r="I90" s="214">
        <v>0</v>
      </c>
      <c r="J90" s="214">
        <v>0</v>
      </c>
      <c r="K90" s="214">
        <v>0</v>
      </c>
      <c r="L90" s="214">
        <v>0</v>
      </c>
      <c r="M90" s="214">
        <v>0</v>
      </c>
      <c r="N90" s="214">
        <v>0</v>
      </c>
      <c r="O90" s="214">
        <v>0</v>
      </c>
      <c r="P90" s="214">
        <v>0</v>
      </c>
      <c r="Q90" s="214">
        <v>0</v>
      </c>
      <c r="R90" s="214">
        <v>0</v>
      </c>
      <c r="S90" s="214">
        <v>0</v>
      </c>
      <c r="T90" s="214">
        <v>0</v>
      </c>
      <c r="U90" s="214">
        <v>0</v>
      </c>
      <c r="V90" s="214">
        <v>0</v>
      </c>
      <c r="W90" s="214">
        <v>0</v>
      </c>
      <c r="X90" s="214">
        <v>60.5</v>
      </c>
      <c r="Y90" s="214">
        <v>60.5</v>
      </c>
      <c r="Z90" s="214">
        <v>60.5</v>
      </c>
      <c r="AA90" s="214">
        <v>0</v>
      </c>
      <c r="AB90" s="214">
        <v>0</v>
      </c>
      <c r="AC90" s="214">
        <v>0</v>
      </c>
      <c r="AD90" s="214">
        <v>0</v>
      </c>
      <c r="AE90" s="214">
        <v>0</v>
      </c>
      <c r="AF90" s="214">
        <v>0</v>
      </c>
      <c r="AG90" s="214">
        <v>0</v>
      </c>
      <c r="AH90" s="214">
        <v>0</v>
      </c>
      <c r="AI90" s="214">
        <v>0</v>
      </c>
      <c r="AJ90" s="214">
        <v>0</v>
      </c>
      <c r="AK90" s="214">
        <v>0</v>
      </c>
      <c r="AL90" s="214">
        <v>0</v>
      </c>
    </row>
    <row r="91" spans="1:38" x14ac:dyDescent="0.25">
      <c r="A91" s="214" t="s">
        <v>675</v>
      </c>
      <c r="B91" s="214">
        <v>25</v>
      </c>
      <c r="C91" s="214">
        <v>0</v>
      </c>
      <c r="D91" s="214">
        <v>0</v>
      </c>
      <c r="E91" s="214">
        <v>0</v>
      </c>
      <c r="F91" s="214">
        <v>0</v>
      </c>
      <c r="G91" s="214">
        <v>0</v>
      </c>
      <c r="H91" s="214">
        <v>0</v>
      </c>
      <c r="I91" s="214">
        <v>0</v>
      </c>
      <c r="J91" s="214">
        <v>0</v>
      </c>
      <c r="K91" s="214">
        <v>0</v>
      </c>
      <c r="L91" s="214">
        <v>0</v>
      </c>
      <c r="M91" s="214">
        <v>0</v>
      </c>
      <c r="N91" s="214">
        <v>0</v>
      </c>
      <c r="O91" s="214">
        <v>0</v>
      </c>
      <c r="P91" s="214">
        <v>0</v>
      </c>
      <c r="Q91" s="214">
        <v>0</v>
      </c>
      <c r="R91" s="214">
        <v>0</v>
      </c>
      <c r="S91" s="214">
        <v>0</v>
      </c>
      <c r="T91" s="214">
        <v>0</v>
      </c>
      <c r="U91" s="214">
        <v>0</v>
      </c>
      <c r="V91" s="214">
        <v>0</v>
      </c>
      <c r="W91" s="214">
        <v>0</v>
      </c>
      <c r="X91" s="214">
        <v>31</v>
      </c>
      <c r="Y91" s="214">
        <v>31</v>
      </c>
      <c r="Z91" s="214">
        <v>31</v>
      </c>
      <c r="AA91" s="214">
        <v>0</v>
      </c>
      <c r="AB91" s="214">
        <v>0</v>
      </c>
      <c r="AC91" s="214">
        <v>0</v>
      </c>
      <c r="AD91" s="214">
        <v>0</v>
      </c>
      <c r="AE91" s="214">
        <v>0</v>
      </c>
      <c r="AF91" s="214">
        <v>0</v>
      </c>
      <c r="AG91" s="214">
        <v>0</v>
      </c>
      <c r="AH91" s="214">
        <v>0</v>
      </c>
      <c r="AI91" s="214">
        <v>0</v>
      </c>
      <c r="AJ91" s="214">
        <v>0</v>
      </c>
      <c r="AK91" s="214">
        <v>0</v>
      </c>
      <c r="AL91" s="214">
        <v>0</v>
      </c>
    </row>
    <row r="92" spans="1:38" x14ac:dyDescent="0.25">
      <c r="A92" s="214" t="s">
        <v>674</v>
      </c>
      <c r="B92" s="214">
        <v>57.5</v>
      </c>
      <c r="C92" s="214">
        <v>0</v>
      </c>
      <c r="D92" s="214">
        <v>0</v>
      </c>
      <c r="E92" s="214">
        <v>0</v>
      </c>
      <c r="F92" s="214">
        <v>0</v>
      </c>
      <c r="G92" s="214">
        <v>0</v>
      </c>
      <c r="H92" s="214">
        <v>0</v>
      </c>
      <c r="I92" s="214">
        <v>0</v>
      </c>
      <c r="J92" s="214">
        <v>0</v>
      </c>
      <c r="K92" s="214">
        <v>0</v>
      </c>
      <c r="L92" s="214">
        <v>0</v>
      </c>
      <c r="M92" s="214">
        <v>0</v>
      </c>
      <c r="N92" s="214">
        <v>0</v>
      </c>
      <c r="O92" s="214">
        <v>0</v>
      </c>
      <c r="P92" s="214">
        <v>0</v>
      </c>
      <c r="Q92" s="214">
        <v>0</v>
      </c>
      <c r="R92" s="214">
        <v>0</v>
      </c>
      <c r="S92" s="214">
        <v>0</v>
      </c>
      <c r="T92" s="214">
        <v>0</v>
      </c>
      <c r="U92" s="214">
        <v>0</v>
      </c>
      <c r="V92" s="214">
        <v>0</v>
      </c>
      <c r="W92" s="214">
        <v>0</v>
      </c>
      <c r="X92" s="214">
        <v>76</v>
      </c>
      <c r="Y92" s="214">
        <v>76</v>
      </c>
      <c r="Z92" s="214">
        <v>76</v>
      </c>
      <c r="AA92" s="214">
        <v>0</v>
      </c>
      <c r="AB92" s="214">
        <v>0</v>
      </c>
      <c r="AC92" s="214">
        <v>0</v>
      </c>
      <c r="AD92" s="214">
        <v>0</v>
      </c>
      <c r="AE92" s="214">
        <v>0</v>
      </c>
      <c r="AF92" s="214">
        <v>0</v>
      </c>
      <c r="AG92" s="214">
        <v>0</v>
      </c>
      <c r="AH92" s="214">
        <v>0</v>
      </c>
      <c r="AI92" s="214">
        <v>0</v>
      </c>
      <c r="AJ92" s="214">
        <v>0</v>
      </c>
      <c r="AK92" s="214">
        <v>0</v>
      </c>
      <c r="AL92" s="214">
        <v>0</v>
      </c>
    </row>
    <row r="93" spans="1:38" x14ac:dyDescent="0.25">
      <c r="A93" s="214" t="s">
        <v>673</v>
      </c>
      <c r="B93" s="214">
        <v>127.5</v>
      </c>
      <c r="C93" s="214">
        <v>0</v>
      </c>
      <c r="D93" s="214">
        <v>0</v>
      </c>
      <c r="E93" s="214">
        <v>0</v>
      </c>
      <c r="F93" s="214">
        <v>0</v>
      </c>
      <c r="G93" s="214">
        <v>0</v>
      </c>
      <c r="H93" s="214">
        <v>0</v>
      </c>
      <c r="I93" s="214">
        <v>0</v>
      </c>
      <c r="J93" s="214">
        <v>0</v>
      </c>
      <c r="K93" s="214">
        <v>0</v>
      </c>
      <c r="L93" s="214">
        <v>0</v>
      </c>
      <c r="M93" s="214">
        <v>0</v>
      </c>
      <c r="N93" s="214">
        <v>0</v>
      </c>
      <c r="O93" s="214">
        <v>0</v>
      </c>
      <c r="P93" s="214">
        <v>0</v>
      </c>
      <c r="Q93" s="214">
        <v>0</v>
      </c>
      <c r="R93" s="214">
        <v>0</v>
      </c>
      <c r="S93" s="214">
        <v>0</v>
      </c>
      <c r="T93" s="214">
        <v>0</v>
      </c>
      <c r="U93" s="214">
        <v>0</v>
      </c>
      <c r="V93" s="214">
        <v>0</v>
      </c>
      <c r="W93" s="214">
        <v>0</v>
      </c>
      <c r="X93" s="214">
        <v>166.5</v>
      </c>
      <c r="Y93" s="214">
        <v>166.5</v>
      </c>
      <c r="Z93" s="214">
        <v>166.5</v>
      </c>
      <c r="AA93" s="214">
        <v>0</v>
      </c>
      <c r="AB93" s="214">
        <v>0</v>
      </c>
      <c r="AC93" s="214">
        <v>0</v>
      </c>
      <c r="AD93" s="214">
        <v>0</v>
      </c>
      <c r="AE93" s="214">
        <v>0</v>
      </c>
      <c r="AF93" s="214">
        <v>0</v>
      </c>
      <c r="AG93" s="214">
        <v>0</v>
      </c>
      <c r="AH93" s="214">
        <v>0</v>
      </c>
      <c r="AI93" s="214">
        <v>0</v>
      </c>
      <c r="AJ93" s="214">
        <v>0</v>
      </c>
      <c r="AK93" s="214">
        <v>0</v>
      </c>
      <c r="AL93" s="214">
        <v>0</v>
      </c>
    </row>
    <row r="94" spans="1:38" x14ac:dyDescent="0.25">
      <c r="A94" s="214" t="s">
        <v>672</v>
      </c>
      <c r="B94" s="214">
        <v>0</v>
      </c>
      <c r="C94" s="214">
        <v>0</v>
      </c>
      <c r="D94" s="214">
        <v>0</v>
      </c>
      <c r="E94" s="214">
        <v>0</v>
      </c>
      <c r="F94" s="214">
        <v>0</v>
      </c>
      <c r="G94" s="214">
        <v>0</v>
      </c>
      <c r="H94" s="214">
        <v>0</v>
      </c>
      <c r="I94" s="214">
        <v>0</v>
      </c>
      <c r="J94" s="214">
        <v>0</v>
      </c>
      <c r="K94" s="214">
        <v>0</v>
      </c>
      <c r="L94" s="214">
        <v>0</v>
      </c>
      <c r="M94" s="214">
        <v>0</v>
      </c>
      <c r="N94" s="214">
        <v>0</v>
      </c>
      <c r="O94" s="214">
        <v>0</v>
      </c>
      <c r="P94" s="214">
        <v>0</v>
      </c>
      <c r="Q94" s="214">
        <v>0</v>
      </c>
      <c r="R94" s="214">
        <v>0</v>
      </c>
      <c r="S94" s="214">
        <v>0</v>
      </c>
      <c r="T94" s="214">
        <v>0</v>
      </c>
      <c r="U94" s="214">
        <v>0</v>
      </c>
      <c r="V94" s="214">
        <v>0</v>
      </c>
      <c r="W94" s="214">
        <v>0</v>
      </c>
      <c r="X94" s="214">
        <v>47.5</v>
      </c>
      <c r="Y94" s="214">
        <v>70.5</v>
      </c>
      <c r="Z94" s="214">
        <v>70.5</v>
      </c>
      <c r="AA94" s="214">
        <v>0</v>
      </c>
      <c r="AB94" s="214">
        <v>0</v>
      </c>
      <c r="AC94" s="214">
        <v>0</v>
      </c>
      <c r="AD94" s="214">
        <v>0</v>
      </c>
      <c r="AE94" s="214">
        <v>0</v>
      </c>
      <c r="AF94" s="214">
        <v>0</v>
      </c>
      <c r="AG94" s="214">
        <v>0</v>
      </c>
      <c r="AH94" s="214">
        <v>0</v>
      </c>
      <c r="AI94" s="214">
        <v>0</v>
      </c>
      <c r="AJ94" s="214">
        <v>0</v>
      </c>
      <c r="AK94" s="214">
        <v>0</v>
      </c>
      <c r="AL94" s="214">
        <v>0</v>
      </c>
    </row>
    <row r="95" spans="1:38" x14ac:dyDescent="0.25">
      <c r="A95" s="214" t="s">
        <v>671</v>
      </c>
      <c r="B95" s="214">
        <v>0</v>
      </c>
      <c r="C95" s="214">
        <v>0</v>
      </c>
      <c r="D95" s="214">
        <v>0</v>
      </c>
      <c r="E95" s="214">
        <v>0</v>
      </c>
      <c r="F95" s="214">
        <v>0</v>
      </c>
      <c r="G95" s="214">
        <v>0</v>
      </c>
      <c r="H95" s="214">
        <v>0</v>
      </c>
      <c r="I95" s="214">
        <v>0</v>
      </c>
      <c r="J95" s="214">
        <v>0</v>
      </c>
      <c r="K95" s="214">
        <v>0</v>
      </c>
      <c r="L95" s="214">
        <v>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14">
        <v>0</v>
      </c>
      <c r="S95" s="214">
        <v>0</v>
      </c>
      <c r="T95" s="214">
        <v>0</v>
      </c>
      <c r="U95" s="214">
        <v>0</v>
      </c>
      <c r="V95" s="214">
        <v>0</v>
      </c>
      <c r="W95" s="214">
        <v>0</v>
      </c>
      <c r="X95" s="214">
        <v>30</v>
      </c>
      <c r="Y95" s="214">
        <v>45</v>
      </c>
      <c r="Z95" s="214">
        <v>45</v>
      </c>
      <c r="AA95" s="214">
        <v>0</v>
      </c>
      <c r="AB95" s="214">
        <v>0</v>
      </c>
      <c r="AC95" s="214">
        <v>0</v>
      </c>
      <c r="AD95" s="214">
        <v>0</v>
      </c>
      <c r="AE95" s="214">
        <v>0</v>
      </c>
      <c r="AF95" s="214">
        <v>0</v>
      </c>
      <c r="AG95" s="214">
        <v>0</v>
      </c>
      <c r="AH95" s="214">
        <v>0</v>
      </c>
      <c r="AI95" s="214">
        <v>0</v>
      </c>
      <c r="AJ95" s="214">
        <v>0</v>
      </c>
      <c r="AK95" s="214">
        <v>0</v>
      </c>
      <c r="AL95" s="214">
        <v>0</v>
      </c>
    </row>
    <row r="96" spans="1:38" x14ac:dyDescent="0.25">
      <c r="A96" s="214" t="s">
        <v>670</v>
      </c>
      <c r="B96" s="214">
        <v>0</v>
      </c>
      <c r="C96" s="214">
        <v>0</v>
      </c>
      <c r="D96" s="214">
        <v>0</v>
      </c>
      <c r="E96" s="214">
        <v>0</v>
      </c>
      <c r="F96" s="214">
        <v>0</v>
      </c>
      <c r="G96" s="214">
        <v>0</v>
      </c>
      <c r="H96" s="214">
        <v>0</v>
      </c>
      <c r="I96" s="214">
        <v>0</v>
      </c>
      <c r="J96" s="214">
        <v>0</v>
      </c>
      <c r="K96" s="214">
        <v>0</v>
      </c>
      <c r="L96" s="214">
        <v>0</v>
      </c>
      <c r="M96" s="214">
        <v>0</v>
      </c>
      <c r="N96" s="214">
        <v>0</v>
      </c>
      <c r="O96" s="214">
        <v>0</v>
      </c>
      <c r="P96" s="214">
        <v>0</v>
      </c>
      <c r="Q96" s="214">
        <v>0</v>
      </c>
      <c r="R96" s="214">
        <v>0</v>
      </c>
      <c r="S96" s="214">
        <v>0</v>
      </c>
      <c r="T96" s="214">
        <v>0</v>
      </c>
      <c r="U96" s="214">
        <v>0</v>
      </c>
      <c r="V96" s="214">
        <v>0</v>
      </c>
      <c r="W96" s="214">
        <v>0</v>
      </c>
      <c r="X96" s="214">
        <v>72.5</v>
      </c>
      <c r="Y96" s="214">
        <v>87.5</v>
      </c>
      <c r="Z96" s="214">
        <v>90.7</v>
      </c>
      <c r="AA96" s="214">
        <v>0</v>
      </c>
      <c r="AB96" s="214">
        <v>0</v>
      </c>
      <c r="AC96" s="214">
        <v>0</v>
      </c>
      <c r="AD96" s="214">
        <v>0</v>
      </c>
      <c r="AE96" s="214">
        <v>0</v>
      </c>
      <c r="AF96" s="214">
        <v>0</v>
      </c>
      <c r="AG96" s="214">
        <v>0</v>
      </c>
      <c r="AH96" s="214">
        <v>0</v>
      </c>
      <c r="AI96" s="214">
        <v>0</v>
      </c>
      <c r="AJ96" s="214">
        <v>0</v>
      </c>
      <c r="AK96" s="214">
        <v>0</v>
      </c>
      <c r="AL96" s="214">
        <v>0</v>
      </c>
    </row>
    <row r="97" spans="1:38" x14ac:dyDescent="0.25">
      <c r="A97" s="214" t="s">
        <v>669</v>
      </c>
      <c r="B97" s="214">
        <v>0</v>
      </c>
      <c r="C97" s="214">
        <v>0</v>
      </c>
      <c r="D97" s="214">
        <v>0</v>
      </c>
      <c r="E97" s="214">
        <v>0</v>
      </c>
      <c r="F97" s="214">
        <v>0</v>
      </c>
      <c r="G97" s="214">
        <v>0</v>
      </c>
      <c r="H97" s="214">
        <v>0</v>
      </c>
      <c r="I97" s="214">
        <v>0</v>
      </c>
      <c r="J97" s="214">
        <v>0</v>
      </c>
      <c r="K97" s="214">
        <v>0</v>
      </c>
      <c r="L97" s="214">
        <v>0</v>
      </c>
      <c r="M97" s="214">
        <v>0</v>
      </c>
      <c r="N97" s="214">
        <v>0</v>
      </c>
      <c r="O97" s="214">
        <v>0</v>
      </c>
      <c r="P97" s="214">
        <v>0</v>
      </c>
      <c r="Q97" s="214">
        <v>0</v>
      </c>
      <c r="R97" s="214">
        <v>0</v>
      </c>
      <c r="S97" s="214">
        <v>0</v>
      </c>
      <c r="T97" s="214">
        <v>0</v>
      </c>
      <c r="U97" s="214">
        <v>0</v>
      </c>
      <c r="V97" s="214">
        <v>0</v>
      </c>
      <c r="W97" s="214">
        <v>0</v>
      </c>
      <c r="X97" s="214">
        <v>147.5</v>
      </c>
      <c r="Y97" s="214">
        <v>202.5</v>
      </c>
      <c r="Z97" s="214">
        <v>202.5</v>
      </c>
      <c r="AA97" s="214">
        <v>0</v>
      </c>
      <c r="AB97" s="214">
        <v>0</v>
      </c>
      <c r="AC97" s="214">
        <v>0</v>
      </c>
      <c r="AD97" s="214">
        <v>0</v>
      </c>
      <c r="AE97" s="214">
        <v>0</v>
      </c>
      <c r="AF97" s="214">
        <v>0</v>
      </c>
      <c r="AG97" s="214">
        <v>0</v>
      </c>
      <c r="AH97" s="214">
        <v>0</v>
      </c>
      <c r="AI97" s="214">
        <v>0</v>
      </c>
      <c r="AJ97" s="214">
        <v>0</v>
      </c>
      <c r="AK97" s="214">
        <v>0</v>
      </c>
      <c r="AL97" s="214">
        <v>0</v>
      </c>
    </row>
    <row r="98" spans="1:38" x14ac:dyDescent="0.25">
      <c r="A98" s="214" t="s">
        <v>257</v>
      </c>
      <c r="B98" s="214">
        <v>0</v>
      </c>
      <c r="C98" s="214">
        <v>0</v>
      </c>
      <c r="D98" s="214">
        <v>0</v>
      </c>
      <c r="E98" s="214">
        <v>92.5</v>
      </c>
      <c r="F98" s="214">
        <v>137.5</v>
      </c>
      <c r="G98" s="214">
        <v>137.5</v>
      </c>
      <c r="H98" s="214">
        <v>137.5</v>
      </c>
      <c r="I98" s="214">
        <v>125</v>
      </c>
      <c r="J98" s="214">
        <v>0</v>
      </c>
      <c r="K98" s="214">
        <v>0</v>
      </c>
      <c r="L98" s="214">
        <v>0</v>
      </c>
      <c r="M98" s="214">
        <v>0</v>
      </c>
      <c r="N98" s="214">
        <v>0</v>
      </c>
      <c r="O98" s="214">
        <v>0</v>
      </c>
      <c r="P98" s="214">
        <v>0</v>
      </c>
      <c r="Q98" s="214">
        <v>0</v>
      </c>
      <c r="R98" s="214">
        <v>0</v>
      </c>
      <c r="S98" s="214">
        <v>0</v>
      </c>
      <c r="T98" s="214">
        <v>0</v>
      </c>
      <c r="U98" s="214">
        <v>97.5</v>
      </c>
      <c r="V98" s="214">
        <v>100.5</v>
      </c>
      <c r="W98" s="214">
        <v>100.5</v>
      </c>
      <c r="X98" s="214">
        <v>0</v>
      </c>
      <c r="Y98" s="214">
        <v>65</v>
      </c>
      <c r="Z98" s="214">
        <v>75</v>
      </c>
      <c r="AA98" s="214">
        <v>100.5</v>
      </c>
      <c r="AB98" s="214">
        <v>85</v>
      </c>
      <c r="AC98" s="214">
        <v>0</v>
      </c>
      <c r="AD98" s="214">
        <v>0</v>
      </c>
      <c r="AE98" s="214">
        <v>0</v>
      </c>
      <c r="AF98" s="214">
        <v>0</v>
      </c>
      <c r="AG98" s="214">
        <v>0</v>
      </c>
      <c r="AH98" s="214">
        <v>0</v>
      </c>
      <c r="AI98" s="214">
        <v>0</v>
      </c>
      <c r="AJ98" s="214">
        <v>0</v>
      </c>
      <c r="AK98" s="214">
        <v>0</v>
      </c>
      <c r="AL98" s="214">
        <v>0</v>
      </c>
    </row>
    <row r="99" spans="1:38" x14ac:dyDescent="0.25">
      <c r="A99" s="214" t="s">
        <v>258</v>
      </c>
      <c r="B99" s="214">
        <v>0</v>
      </c>
      <c r="C99" s="214">
        <v>0</v>
      </c>
      <c r="D99" s="214">
        <v>0</v>
      </c>
      <c r="E99" s="214">
        <v>47.5</v>
      </c>
      <c r="F99" s="214">
        <v>77.5</v>
      </c>
      <c r="G99" s="214">
        <v>83</v>
      </c>
      <c r="H99" s="214">
        <v>83</v>
      </c>
      <c r="I99" s="214">
        <v>62.5</v>
      </c>
      <c r="J99" s="214">
        <v>0</v>
      </c>
      <c r="K99" s="214">
        <v>0</v>
      </c>
      <c r="L99" s="214">
        <v>0</v>
      </c>
      <c r="M99" s="214">
        <v>0</v>
      </c>
      <c r="N99" s="214">
        <v>0</v>
      </c>
      <c r="O99" s="214">
        <v>0</v>
      </c>
      <c r="P99" s="214">
        <v>0</v>
      </c>
      <c r="Q99" s="214">
        <v>0</v>
      </c>
      <c r="R99" s="214">
        <v>0</v>
      </c>
      <c r="S99" s="214">
        <v>0</v>
      </c>
      <c r="T99" s="214">
        <v>0</v>
      </c>
      <c r="U99" s="214">
        <v>52.5</v>
      </c>
      <c r="V99" s="214">
        <v>62.5</v>
      </c>
      <c r="W99" s="214">
        <v>70</v>
      </c>
      <c r="X99" s="214">
        <v>0</v>
      </c>
      <c r="Y99" s="214">
        <v>32.5</v>
      </c>
      <c r="Z99" s="214">
        <v>43</v>
      </c>
      <c r="AA99" s="214">
        <v>70</v>
      </c>
      <c r="AB99" s="214">
        <v>62.5</v>
      </c>
      <c r="AC99" s="214">
        <v>0</v>
      </c>
      <c r="AD99" s="214">
        <v>0</v>
      </c>
      <c r="AE99" s="214">
        <v>0</v>
      </c>
      <c r="AF99" s="214">
        <v>0</v>
      </c>
      <c r="AG99" s="214">
        <v>0</v>
      </c>
      <c r="AH99" s="214">
        <v>0</v>
      </c>
      <c r="AI99" s="214">
        <v>0</v>
      </c>
      <c r="AJ99" s="214">
        <v>0</v>
      </c>
      <c r="AK99" s="214">
        <v>0</v>
      </c>
      <c r="AL99" s="214">
        <v>0</v>
      </c>
    </row>
    <row r="100" spans="1:38" x14ac:dyDescent="0.25">
      <c r="A100" s="214" t="s">
        <v>259</v>
      </c>
      <c r="B100" s="214">
        <v>0</v>
      </c>
      <c r="C100" s="214">
        <v>0</v>
      </c>
      <c r="D100" s="214">
        <v>0</v>
      </c>
      <c r="E100" s="214">
        <v>92.5</v>
      </c>
      <c r="F100" s="214">
        <v>142.5</v>
      </c>
      <c r="G100" s="214">
        <v>142.5</v>
      </c>
      <c r="H100" s="214">
        <v>142.5</v>
      </c>
      <c r="I100" s="214">
        <v>142.5</v>
      </c>
      <c r="J100" s="214">
        <v>0</v>
      </c>
      <c r="K100" s="214">
        <v>0</v>
      </c>
      <c r="L100" s="214">
        <v>0</v>
      </c>
      <c r="M100" s="214">
        <v>0</v>
      </c>
      <c r="N100" s="214">
        <v>0</v>
      </c>
      <c r="O100" s="214">
        <v>0</v>
      </c>
      <c r="P100" s="214">
        <v>0</v>
      </c>
      <c r="Q100" s="214">
        <v>0</v>
      </c>
      <c r="R100" s="214">
        <v>0</v>
      </c>
      <c r="S100" s="214">
        <v>0</v>
      </c>
      <c r="T100" s="214">
        <v>0</v>
      </c>
      <c r="U100" s="214">
        <v>105</v>
      </c>
      <c r="V100" s="214">
        <v>125</v>
      </c>
      <c r="W100" s="214">
        <v>125</v>
      </c>
      <c r="X100" s="214">
        <v>0</v>
      </c>
      <c r="Y100" s="214">
        <v>75</v>
      </c>
      <c r="Z100" s="214">
        <v>92.5</v>
      </c>
      <c r="AA100" s="214">
        <v>125</v>
      </c>
      <c r="AB100" s="214">
        <v>125</v>
      </c>
      <c r="AC100" s="214">
        <v>0</v>
      </c>
      <c r="AD100" s="214">
        <v>0</v>
      </c>
      <c r="AE100" s="214">
        <v>0</v>
      </c>
      <c r="AF100" s="214">
        <v>0</v>
      </c>
      <c r="AG100" s="214">
        <v>0</v>
      </c>
      <c r="AH100" s="214">
        <v>0</v>
      </c>
      <c r="AI100" s="214">
        <v>0</v>
      </c>
      <c r="AJ100" s="214">
        <v>0</v>
      </c>
      <c r="AK100" s="214">
        <v>0</v>
      </c>
      <c r="AL100" s="214">
        <v>0</v>
      </c>
    </row>
    <row r="101" spans="1:38" x14ac:dyDescent="0.25">
      <c r="A101" s="214" t="s">
        <v>260</v>
      </c>
      <c r="B101" s="214">
        <v>0</v>
      </c>
      <c r="C101" s="214">
        <v>0</v>
      </c>
      <c r="D101" s="214">
        <v>0</v>
      </c>
      <c r="E101" s="214">
        <v>282.5</v>
      </c>
      <c r="F101" s="214">
        <v>342.5</v>
      </c>
      <c r="G101" s="214">
        <v>348</v>
      </c>
      <c r="H101" s="214">
        <v>348</v>
      </c>
      <c r="I101" s="214">
        <v>320</v>
      </c>
      <c r="J101" s="214">
        <v>207.5</v>
      </c>
      <c r="K101" s="214">
        <v>0</v>
      </c>
      <c r="L101" s="214">
        <v>0</v>
      </c>
      <c r="M101" s="214">
        <v>0</v>
      </c>
      <c r="N101" s="214">
        <v>0</v>
      </c>
      <c r="O101" s="214">
        <v>0</v>
      </c>
      <c r="P101" s="214">
        <v>0</v>
      </c>
      <c r="Q101" s="214">
        <v>0</v>
      </c>
      <c r="R101" s="214">
        <v>0</v>
      </c>
      <c r="S101" s="214">
        <v>0</v>
      </c>
      <c r="T101" s="214">
        <v>0</v>
      </c>
      <c r="U101" s="214">
        <v>252.5</v>
      </c>
      <c r="V101" s="214">
        <v>272.5</v>
      </c>
      <c r="W101" s="214">
        <v>277.5</v>
      </c>
      <c r="X101" s="214">
        <v>0</v>
      </c>
      <c r="Y101" s="214">
        <v>172.5</v>
      </c>
      <c r="Z101" s="214">
        <v>207.5</v>
      </c>
      <c r="AA101" s="214">
        <v>277.5</v>
      </c>
      <c r="AB101" s="214">
        <v>272.5</v>
      </c>
      <c r="AC101" s="214">
        <v>207.5</v>
      </c>
      <c r="AD101" s="214">
        <v>237.5</v>
      </c>
      <c r="AE101" s="214">
        <v>0</v>
      </c>
      <c r="AF101" s="214">
        <v>0</v>
      </c>
      <c r="AG101" s="214">
        <v>0</v>
      </c>
      <c r="AH101" s="214">
        <v>0</v>
      </c>
      <c r="AI101" s="214">
        <v>0</v>
      </c>
      <c r="AJ101" s="214">
        <v>0</v>
      </c>
      <c r="AK101" s="214">
        <v>0</v>
      </c>
      <c r="AL101" s="214">
        <v>0</v>
      </c>
    </row>
    <row r="102" spans="1:38" x14ac:dyDescent="0.25">
      <c r="A102" s="214" t="s">
        <v>261</v>
      </c>
      <c r="B102" s="214">
        <v>0</v>
      </c>
      <c r="C102" s="214">
        <v>0</v>
      </c>
      <c r="D102" s="214">
        <v>52.5</v>
      </c>
      <c r="E102" s="214">
        <v>132.5</v>
      </c>
      <c r="F102" s="214">
        <v>137.5</v>
      </c>
      <c r="G102" s="214">
        <v>140</v>
      </c>
      <c r="H102" s="214">
        <v>152.5</v>
      </c>
      <c r="I102" s="214">
        <v>165</v>
      </c>
      <c r="J102" s="214">
        <v>132.5</v>
      </c>
      <c r="K102" s="214">
        <v>132.5</v>
      </c>
      <c r="L102" s="214">
        <v>122.5</v>
      </c>
      <c r="M102" s="214">
        <v>112.5</v>
      </c>
      <c r="N102" s="214">
        <v>102.5</v>
      </c>
      <c r="O102" s="214">
        <v>102.5</v>
      </c>
      <c r="P102" s="214">
        <v>100</v>
      </c>
      <c r="Q102" s="214">
        <v>0</v>
      </c>
      <c r="R102" s="214">
        <v>0</v>
      </c>
      <c r="S102" s="214">
        <v>0</v>
      </c>
      <c r="T102" s="214">
        <v>0</v>
      </c>
      <c r="U102" s="214">
        <v>105</v>
      </c>
      <c r="V102" s="214">
        <v>105</v>
      </c>
      <c r="W102" s="214">
        <v>105</v>
      </c>
      <c r="X102" s="214">
        <v>47.5</v>
      </c>
      <c r="Y102" s="214">
        <v>47.5</v>
      </c>
      <c r="Z102" s="214">
        <v>97.5</v>
      </c>
      <c r="AA102" s="214">
        <v>125</v>
      </c>
      <c r="AB102" s="214">
        <v>142.5</v>
      </c>
      <c r="AC102" s="214">
        <v>125</v>
      </c>
      <c r="AD102" s="214">
        <v>102.5</v>
      </c>
      <c r="AE102" s="214">
        <v>102.5</v>
      </c>
      <c r="AF102" s="214">
        <v>88</v>
      </c>
      <c r="AG102" s="214">
        <v>88</v>
      </c>
      <c r="AH102" s="214">
        <v>88</v>
      </c>
      <c r="AI102" s="214">
        <v>85</v>
      </c>
      <c r="AJ102" s="214">
        <v>0</v>
      </c>
      <c r="AK102" s="214">
        <v>0</v>
      </c>
      <c r="AL102" s="214">
        <v>0</v>
      </c>
    </row>
    <row r="103" spans="1:38" x14ac:dyDescent="0.25">
      <c r="A103" s="214" t="s">
        <v>262</v>
      </c>
      <c r="B103" s="214">
        <v>0</v>
      </c>
      <c r="C103" s="214">
        <v>0</v>
      </c>
      <c r="D103" s="214">
        <v>37.5</v>
      </c>
      <c r="E103" s="214">
        <v>72.5</v>
      </c>
      <c r="F103" s="214">
        <v>82.5</v>
      </c>
      <c r="G103" s="214">
        <v>82.5</v>
      </c>
      <c r="H103" s="214">
        <v>92.5</v>
      </c>
      <c r="I103" s="214">
        <v>92.5</v>
      </c>
      <c r="J103" s="214">
        <v>77.099999999999994</v>
      </c>
      <c r="K103" s="214">
        <v>77.099999999999994</v>
      </c>
      <c r="L103" s="214">
        <v>65</v>
      </c>
      <c r="M103" s="214">
        <v>65</v>
      </c>
      <c r="N103" s="214">
        <v>50</v>
      </c>
      <c r="O103" s="214">
        <v>50</v>
      </c>
      <c r="P103" s="214">
        <v>45</v>
      </c>
      <c r="Q103" s="214">
        <v>0</v>
      </c>
      <c r="R103" s="214">
        <v>0</v>
      </c>
      <c r="S103" s="214">
        <v>0</v>
      </c>
      <c r="T103" s="214">
        <v>0</v>
      </c>
      <c r="U103" s="214">
        <v>65</v>
      </c>
      <c r="V103" s="214">
        <v>65</v>
      </c>
      <c r="W103" s="214">
        <v>75</v>
      </c>
      <c r="X103" s="214">
        <v>27.5</v>
      </c>
      <c r="Y103" s="214">
        <v>27.5</v>
      </c>
      <c r="Z103" s="214">
        <v>65</v>
      </c>
      <c r="AA103" s="214">
        <v>85</v>
      </c>
      <c r="AB103" s="214">
        <v>85</v>
      </c>
      <c r="AC103" s="214">
        <v>65</v>
      </c>
      <c r="AD103" s="214">
        <v>48</v>
      </c>
      <c r="AE103" s="214">
        <v>48</v>
      </c>
      <c r="AF103" s="214">
        <v>45</v>
      </c>
      <c r="AG103" s="214">
        <v>45</v>
      </c>
      <c r="AH103" s="214">
        <v>45</v>
      </c>
      <c r="AI103" s="214">
        <v>40</v>
      </c>
      <c r="AJ103" s="214">
        <v>0</v>
      </c>
      <c r="AK103" s="214">
        <v>0</v>
      </c>
      <c r="AL103" s="214">
        <v>0</v>
      </c>
    </row>
    <row r="104" spans="1:38" x14ac:dyDescent="0.25">
      <c r="A104" s="214" t="s">
        <v>263</v>
      </c>
      <c r="B104" s="214">
        <v>0</v>
      </c>
      <c r="C104" s="214">
        <v>0</v>
      </c>
      <c r="D104" s="214">
        <v>77.5</v>
      </c>
      <c r="E104" s="214">
        <v>147.5</v>
      </c>
      <c r="F104" s="214">
        <v>147.5</v>
      </c>
      <c r="G104" s="214">
        <v>160</v>
      </c>
      <c r="H104" s="214">
        <v>162.5</v>
      </c>
      <c r="I104" s="214">
        <v>162.5</v>
      </c>
      <c r="J104" s="214">
        <v>152.5</v>
      </c>
      <c r="K104" s="214">
        <v>152.5</v>
      </c>
      <c r="L104" s="214">
        <v>145</v>
      </c>
      <c r="M104" s="214">
        <v>142.5</v>
      </c>
      <c r="N104" s="214">
        <v>127.5</v>
      </c>
      <c r="O104" s="214">
        <v>127.5</v>
      </c>
      <c r="P104" s="214">
        <v>127.5</v>
      </c>
      <c r="Q104" s="214">
        <v>0</v>
      </c>
      <c r="R104" s="214">
        <v>0</v>
      </c>
      <c r="S104" s="214">
        <v>0</v>
      </c>
      <c r="T104" s="214">
        <v>0</v>
      </c>
      <c r="U104" s="214">
        <v>125</v>
      </c>
      <c r="V104" s="214">
        <v>125</v>
      </c>
      <c r="W104" s="214">
        <v>132.5</v>
      </c>
      <c r="X104" s="214">
        <v>72.5</v>
      </c>
      <c r="Y104" s="214">
        <v>72.5</v>
      </c>
      <c r="Z104" s="214">
        <v>122.5</v>
      </c>
      <c r="AA104" s="214">
        <v>151</v>
      </c>
      <c r="AB104" s="214">
        <v>182.5</v>
      </c>
      <c r="AC104" s="214">
        <v>147.5</v>
      </c>
      <c r="AD104" s="214">
        <v>120</v>
      </c>
      <c r="AE104" s="214">
        <v>120</v>
      </c>
      <c r="AF104" s="214">
        <v>120</v>
      </c>
      <c r="AG104" s="214">
        <v>120</v>
      </c>
      <c r="AH104" s="214">
        <v>120</v>
      </c>
      <c r="AI104" s="214">
        <v>120</v>
      </c>
      <c r="AJ104" s="214">
        <v>0</v>
      </c>
      <c r="AK104" s="214">
        <v>0</v>
      </c>
      <c r="AL104" s="214">
        <v>0</v>
      </c>
    </row>
    <row r="105" spans="1:38" x14ac:dyDescent="0.25">
      <c r="A105" s="214" t="s">
        <v>264</v>
      </c>
      <c r="B105" s="214">
        <v>0</v>
      </c>
      <c r="C105" s="214">
        <v>242.5</v>
      </c>
      <c r="D105" s="214">
        <v>242.5</v>
      </c>
      <c r="E105" s="214">
        <v>350</v>
      </c>
      <c r="F105" s="214">
        <v>347.5</v>
      </c>
      <c r="G105" s="214">
        <v>370</v>
      </c>
      <c r="H105" s="214">
        <v>392.5</v>
      </c>
      <c r="I105" s="214">
        <v>402.5</v>
      </c>
      <c r="J105" s="214">
        <v>357.5</v>
      </c>
      <c r="K105" s="214">
        <v>357.5</v>
      </c>
      <c r="L105" s="214">
        <v>327.5</v>
      </c>
      <c r="M105" s="214">
        <v>317.5</v>
      </c>
      <c r="N105" s="214">
        <v>272.5</v>
      </c>
      <c r="O105" s="214">
        <v>272.5</v>
      </c>
      <c r="P105" s="214">
        <v>272.5</v>
      </c>
      <c r="Q105" s="214">
        <v>0</v>
      </c>
      <c r="R105" s="214">
        <v>0</v>
      </c>
      <c r="S105" s="214">
        <v>0</v>
      </c>
      <c r="T105" s="214">
        <v>0</v>
      </c>
      <c r="U105" s="214">
        <v>285</v>
      </c>
      <c r="V105" s="214">
        <v>285</v>
      </c>
      <c r="W105" s="214">
        <v>292.5</v>
      </c>
      <c r="X105" s="214">
        <v>147.5</v>
      </c>
      <c r="Y105" s="214">
        <v>177.5</v>
      </c>
      <c r="Z105" s="214">
        <v>285</v>
      </c>
      <c r="AA105" s="214">
        <v>335</v>
      </c>
      <c r="AB105" s="214">
        <v>397.5</v>
      </c>
      <c r="AC105" s="214">
        <v>335</v>
      </c>
      <c r="AD105" s="214">
        <v>265</v>
      </c>
      <c r="AE105" s="214">
        <v>265</v>
      </c>
      <c r="AF105" s="214">
        <v>251</v>
      </c>
      <c r="AG105" s="214">
        <v>251</v>
      </c>
      <c r="AH105" s="214">
        <v>251</v>
      </c>
      <c r="AI105" s="214">
        <v>245</v>
      </c>
      <c r="AJ105" s="214">
        <v>0</v>
      </c>
      <c r="AK105" s="214">
        <v>0</v>
      </c>
      <c r="AL105" s="214">
        <v>0</v>
      </c>
    </row>
    <row r="106" spans="1:38" x14ac:dyDescent="0.25">
      <c r="A106" s="214" t="s">
        <v>265</v>
      </c>
      <c r="B106" s="214">
        <v>0</v>
      </c>
      <c r="C106" s="214">
        <v>0</v>
      </c>
      <c r="D106" s="214">
        <v>100</v>
      </c>
      <c r="E106" s="214">
        <v>160</v>
      </c>
      <c r="F106" s="214">
        <v>177.5</v>
      </c>
      <c r="G106" s="214">
        <v>180</v>
      </c>
      <c r="H106" s="214">
        <v>194</v>
      </c>
      <c r="I106" s="214">
        <v>194</v>
      </c>
      <c r="J106" s="214">
        <v>182.5</v>
      </c>
      <c r="K106" s="214">
        <v>182.5</v>
      </c>
      <c r="L106" s="214">
        <v>130</v>
      </c>
      <c r="M106" s="214">
        <v>120</v>
      </c>
      <c r="N106" s="214">
        <v>115</v>
      </c>
      <c r="O106" s="214">
        <v>100</v>
      </c>
      <c r="P106" s="214">
        <v>76</v>
      </c>
      <c r="Q106" s="214">
        <v>76</v>
      </c>
      <c r="R106" s="214">
        <v>0</v>
      </c>
      <c r="S106" s="214">
        <v>0</v>
      </c>
      <c r="T106" s="214">
        <v>36.299999999999997</v>
      </c>
      <c r="U106" s="214">
        <v>102.5</v>
      </c>
      <c r="V106" s="214">
        <v>107.5</v>
      </c>
      <c r="W106" s="214">
        <v>117.5</v>
      </c>
      <c r="X106" s="214">
        <v>20</v>
      </c>
      <c r="Y106" s="214">
        <v>75</v>
      </c>
      <c r="Z106" s="214">
        <v>80</v>
      </c>
      <c r="AA106" s="214">
        <v>142.5</v>
      </c>
      <c r="AB106" s="214">
        <v>156.5</v>
      </c>
      <c r="AC106" s="214">
        <v>156.5</v>
      </c>
      <c r="AD106" s="214">
        <v>156.5</v>
      </c>
      <c r="AE106" s="214">
        <v>152.5</v>
      </c>
      <c r="AF106" s="214">
        <v>100</v>
      </c>
      <c r="AG106" s="214">
        <v>100</v>
      </c>
      <c r="AH106" s="214">
        <v>85</v>
      </c>
      <c r="AI106" s="214">
        <v>80</v>
      </c>
      <c r="AJ106" s="214">
        <v>65</v>
      </c>
      <c r="AK106" s="214">
        <v>0</v>
      </c>
      <c r="AL106" s="214">
        <v>0</v>
      </c>
    </row>
    <row r="107" spans="1:38" x14ac:dyDescent="0.25">
      <c r="A107" s="214" t="s">
        <v>266</v>
      </c>
      <c r="B107" s="214">
        <v>0</v>
      </c>
      <c r="C107" s="214">
        <v>0</v>
      </c>
      <c r="D107" s="214">
        <v>52.5</v>
      </c>
      <c r="E107" s="214">
        <v>102.5</v>
      </c>
      <c r="F107" s="214">
        <v>102.5</v>
      </c>
      <c r="G107" s="214">
        <v>102.5</v>
      </c>
      <c r="H107" s="214">
        <v>132.5</v>
      </c>
      <c r="I107" s="214">
        <v>132.5</v>
      </c>
      <c r="J107" s="214">
        <v>110</v>
      </c>
      <c r="K107" s="214">
        <v>92.5</v>
      </c>
      <c r="L107" s="214">
        <v>77.5</v>
      </c>
      <c r="M107" s="214">
        <v>75</v>
      </c>
      <c r="N107" s="214">
        <v>75</v>
      </c>
      <c r="O107" s="214">
        <v>51</v>
      </c>
      <c r="P107" s="214">
        <v>51</v>
      </c>
      <c r="Q107" s="214">
        <v>51</v>
      </c>
      <c r="R107" s="214">
        <v>0</v>
      </c>
      <c r="S107" s="214">
        <v>0</v>
      </c>
      <c r="T107" s="214">
        <v>22.7</v>
      </c>
      <c r="U107" s="214">
        <v>70</v>
      </c>
      <c r="V107" s="214">
        <v>70</v>
      </c>
      <c r="W107" s="214">
        <v>80</v>
      </c>
      <c r="X107" s="214">
        <v>20</v>
      </c>
      <c r="Y107" s="214">
        <v>45</v>
      </c>
      <c r="Z107" s="214">
        <v>47.5</v>
      </c>
      <c r="AA107" s="214">
        <v>82.5</v>
      </c>
      <c r="AB107" s="214">
        <v>97.5</v>
      </c>
      <c r="AC107" s="214">
        <v>97.5</v>
      </c>
      <c r="AD107" s="214">
        <v>80.5</v>
      </c>
      <c r="AE107" s="214">
        <v>80.5</v>
      </c>
      <c r="AF107" s="214">
        <v>65</v>
      </c>
      <c r="AG107" s="214">
        <v>65</v>
      </c>
      <c r="AH107" s="214">
        <v>52.5</v>
      </c>
      <c r="AI107" s="214">
        <v>52.5</v>
      </c>
      <c r="AJ107" s="214">
        <v>42.5</v>
      </c>
      <c r="AK107" s="214">
        <v>0</v>
      </c>
      <c r="AL107" s="214">
        <v>0</v>
      </c>
    </row>
    <row r="108" spans="1:38" x14ac:dyDescent="0.25">
      <c r="A108" s="214" t="s">
        <v>267</v>
      </c>
      <c r="B108" s="214">
        <v>0</v>
      </c>
      <c r="C108" s="214">
        <v>0</v>
      </c>
      <c r="D108" s="214">
        <v>90</v>
      </c>
      <c r="E108" s="214">
        <v>170</v>
      </c>
      <c r="F108" s="214">
        <v>183</v>
      </c>
      <c r="G108" s="214">
        <v>180</v>
      </c>
      <c r="H108" s="214">
        <v>183</v>
      </c>
      <c r="I108" s="214">
        <v>192.5</v>
      </c>
      <c r="J108" s="214">
        <v>170</v>
      </c>
      <c r="K108" s="214">
        <v>170</v>
      </c>
      <c r="L108" s="214">
        <v>157.5</v>
      </c>
      <c r="M108" s="214">
        <v>145</v>
      </c>
      <c r="N108" s="214">
        <v>123.5</v>
      </c>
      <c r="O108" s="214">
        <v>102.5</v>
      </c>
      <c r="P108" s="214">
        <v>88</v>
      </c>
      <c r="Q108" s="214">
        <v>88</v>
      </c>
      <c r="R108" s="214">
        <v>0</v>
      </c>
      <c r="S108" s="214">
        <v>0</v>
      </c>
      <c r="T108" s="214">
        <v>61.2</v>
      </c>
      <c r="U108" s="214">
        <v>132.5</v>
      </c>
      <c r="V108" s="214">
        <v>132.5</v>
      </c>
      <c r="W108" s="214">
        <v>147.4</v>
      </c>
      <c r="X108" s="214">
        <v>35</v>
      </c>
      <c r="Y108" s="214">
        <v>110.5</v>
      </c>
      <c r="Z108" s="214">
        <v>95</v>
      </c>
      <c r="AA108" s="214">
        <v>166.5</v>
      </c>
      <c r="AB108" s="214">
        <v>187.5</v>
      </c>
      <c r="AC108" s="214">
        <v>187.5</v>
      </c>
      <c r="AD108" s="214">
        <v>162.5</v>
      </c>
      <c r="AE108" s="214">
        <v>158</v>
      </c>
      <c r="AF108" s="214">
        <v>132.5</v>
      </c>
      <c r="AG108" s="214">
        <v>132.5</v>
      </c>
      <c r="AH108" s="214">
        <v>115.5</v>
      </c>
      <c r="AI108" s="214">
        <v>115.5</v>
      </c>
      <c r="AJ108" s="214">
        <v>80</v>
      </c>
      <c r="AK108" s="214">
        <v>0</v>
      </c>
      <c r="AL108" s="214">
        <v>0</v>
      </c>
    </row>
    <row r="109" spans="1:38" x14ac:dyDescent="0.25">
      <c r="A109" s="214" t="s">
        <v>268</v>
      </c>
      <c r="B109" s="214">
        <v>0</v>
      </c>
      <c r="C109" s="214">
        <v>0</v>
      </c>
      <c r="D109" s="214">
        <v>242.5</v>
      </c>
      <c r="E109" s="214">
        <v>397.5</v>
      </c>
      <c r="F109" s="214">
        <v>425</v>
      </c>
      <c r="G109" s="214">
        <v>437.5</v>
      </c>
      <c r="H109" s="214">
        <v>501.5</v>
      </c>
      <c r="I109" s="214">
        <v>501.5</v>
      </c>
      <c r="J109" s="214">
        <v>442.5</v>
      </c>
      <c r="K109" s="214">
        <v>440</v>
      </c>
      <c r="L109" s="214">
        <v>350</v>
      </c>
      <c r="M109" s="214">
        <v>337.5</v>
      </c>
      <c r="N109" s="214">
        <v>292.5</v>
      </c>
      <c r="O109" s="214">
        <v>250</v>
      </c>
      <c r="P109" s="214">
        <v>211</v>
      </c>
      <c r="Q109" s="214">
        <v>211</v>
      </c>
      <c r="R109" s="214">
        <v>0</v>
      </c>
      <c r="S109" s="214">
        <v>0</v>
      </c>
      <c r="T109" s="214">
        <v>120.2</v>
      </c>
      <c r="U109" s="214">
        <v>295</v>
      </c>
      <c r="V109" s="214">
        <v>300</v>
      </c>
      <c r="W109" s="214">
        <v>327.5</v>
      </c>
      <c r="X109" s="214">
        <v>75</v>
      </c>
      <c r="Y109" s="214">
        <v>230.5</v>
      </c>
      <c r="Z109" s="214">
        <v>210</v>
      </c>
      <c r="AA109" s="214">
        <v>363.5</v>
      </c>
      <c r="AB109" s="214">
        <v>430</v>
      </c>
      <c r="AC109" s="214">
        <v>430</v>
      </c>
      <c r="AD109" s="214">
        <v>394</v>
      </c>
      <c r="AE109" s="214">
        <v>391</v>
      </c>
      <c r="AF109" s="214">
        <v>295</v>
      </c>
      <c r="AG109" s="214">
        <v>295</v>
      </c>
      <c r="AH109" s="214">
        <v>247.5</v>
      </c>
      <c r="AI109" s="214">
        <v>225.5</v>
      </c>
      <c r="AJ109" s="214">
        <v>187.5</v>
      </c>
      <c r="AK109" s="214">
        <v>0</v>
      </c>
      <c r="AL109" s="214">
        <v>0</v>
      </c>
    </row>
    <row r="110" spans="1:38" x14ac:dyDescent="0.25">
      <c r="A110" s="214" t="s">
        <v>269</v>
      </c>
      <c r="B110" s="214">
        <v>0</v>
      </c>
      <c r="C110" s="214">
        <v>0</v>
      </c>
      <c r="D110" s="214">
        <v>0</v>
      </c>
      <c r="E110" s="214">
        <v>165</v>
      </c>
      <c r="F110" s="214">
        <v>200</v>
      </c>
      <c r="G110" s="214">
        <v>205</v>
      </c>
      <c r="H110" s="214">
        <v>205</v>
      </c>
      <c r="I110" s="214">
        <v>205</v>
      </c>
      <c r="J110" s="214">
        <v>155</v>
      </c>
      <c r="K110" s="214">
        <v>150</v>
      </c>
      <c r="L110" s="214">
        <v>150</v>
      </c>
      <c r="M110" s="214">
        <v>122.5</v>
      </c>
      <c r="N110" s="214">
        <v>102.5</v>
      </c>
      <c r="O110" s="214">
        <v>75</v>
      </c>
      <c r="P110" s="214">
        <v>75</v>
      </c>
      <c r="Q110" s="214">
        <v>75</v>
      </c>
      <c r="R110" s="214">
        <v>0</v>
      </c>
      <c r="S110" s="214">
        <v>0</v>
      </c>
      <c r="T110" s="214">
        <v>0</v>
      </c>
      <c r="U110" s="214">
        <v>130</v>
      </c>
      <c r="V110" s="214">
        <v>143</v>
      </c>
      <c r="W110" s="214">
        <v>143</v>
      </c>
      <c r="X110" s="214">
        <v>0</v>
      </c>
      <c r="Y110" s="214">
        <v>77.5</v>
      </c>
      <c r="Z110" s="214">
        <v>102.5</v>
      </c>
      <c r="AA110" s="214">
        <v>152.5</v>
      </c>
      <c r="AB110" s="214">
        <v>174.5</v>
      </c>
      <c r="AC110" s="214">
        <v>142.5</v>
      </c>
      <c r="AD110" s="214">
        <v>132.5</v>
      </c>
      <c r="AE110" s="214">
        <v>125.5</v>
      </c>
      <c r="AF110" s="214">
        <v>90</v>
      </c>
      <c r="AG110" s="214">
        <v>87.5</v>
      </c>
      <c r="AH110" s="214">
        <v>85</v>
      </c>
      <c r="AI110" s="214">
        <v>70</v>
      </c>
      <c r="AJ110" s="214">
        <v>62.5</v>
      </c>
      <c r="AK110" s="214">
        <v>0</v>
      </c>
      <c r="AL110" s="214">
        <v>0</v>
      </c>
    </row>
    <row r="111" spans="1:38" x14ac:dyDescent="0.25">
      <c r="A111" s="214" t="s">
        <v>270</v>
      </c>
      <c r="B111" s="214">
        <v>0</v>
      </c>
      <c r="C111" s="214">
        <v>0</v>
      </c>
      <c r="D111" s="214">
        <v>0</v>
      </c>
      <c r="E111" s="214">
        <v>83</v>
      </c>
      <c r="F111" s="214">
        <v>110</v>
      </c>
      <c r="G111" s="214">
        <v>115</v>
      </c>
      <c r="H111" s="214">
        <v>137.5</v>
      </c>
      <c r="I111" s="214">
        <v>137.5</v>
      </c>
      <c r="J111" s="214">
        <v>120</v>
      </c>
      <c r="K111" s="214">
        <v>97.5</v>
      </c>
      <c r="L111" s="214">
        <v>97.5</v>
      </c>
      <c r="M111" s="214">
        <v>97.5</v>
      </c>
      <c r="N111" s="214">
        <v>71.5</v>
      </c>
      <c r="O111" s="214">
        <v>71.5</v>
      </c>
      <c r="P111" s="214">
        <v>71.5</v>
      </c>
      <c r="Q111" s="214">
        <v>71.5</v>
      </c>
      <c r="R111" s="214">
        <v>0</v>
      </c>
      <c r="S111" s="214">
        <v>0</v>
      </c>
      <c r="T111" s="214">
        <v>0</v>
      </c>
      <c r="U111" s="214">
        <v>75</v>
      </c>
      <c r="V111" s="214">
        <v>85</v>
      </c>
      <c r="W111" s="214">
        <v>95</v>
      </c>
      <c r="X111" s="214">
        <v>0</v>
      </c>
      <c r="Y111" s="214">
        <v>45</v>
      </c>
      <c r="Z111" s="214">
        <v>63</v>
      </c>
      <c r="AA111" s="214">
        <v>95</v>
      </c>
      <c r="AB111" s="214">
        <v>100</v>
      </c>
      <c r="AC111" s="214">
        <v>80</v>
      </c>
      <c r="AD111" s="214">
        <v>80</v>
      </c>
      <c r="AE111" s="214">
        <v>80</v>
      </c>
      <c r="AF111" s="214">
        <v>65</v>
      </c>
      <c r="AG111" s="214">
        <v>60</v>
      </c>
      <c r="AH111" s="214">
        <v>47.5</v>
      </c>
      <c r="AI111" s="214">
        <v>45</v>
      </c>
      <c r="AJ111" s="214">
        <v>40</v>
      </c>
      <c r="AK111" s="214">
        <v>0</v>
      </c>
      <c r="AL111" s="214">
        <v>0</v>
      </c>
    </row>
    <row r="112" spans="1:38" x14ac:dyDescent="0.25">
      <c r="A112" s="214" t="s">
        <v>271</v>
      </c>
      <c r="B112" s="214">
        <v>0</v>
      </c>
      <c r="C112" s="214">
        <v>0</v>
      </c>
      <c r="D112" s="214">
        <v>0</v>
      </c>
      <c r="E112" s="214">
        <v>175</v>
      </c>
      <c r="F112" s="214">
        <v>183.5</v>
      </c>
      <c r="G112" s="214">
        <v>192.5</v>
      </c>
      <c r="H112" s="214">
        <v>192.5</v>
      </c>
      <c r="I112" s="214">
        <v>197.5</v>
      </c>
      <c r="J112" s="214">
        <v>182.5</v>
      </c>
      <c r="K112" s="214">
        <v>177.5</v>
      </c>
      <c r="L112" s="214">
        <v>177.5</v>
      </c>
      <c r="M112" s="214">
        <v>147.5</v>
      </c>
      <c r="N112" s="214">
        <v>132.5</v>
      </c>
      <c r="O112" s="214">
        <v>95</v>
      </c>
      <c r="P112" s="214">
        <v>92.5</v>
      </c>
      <c r="Q112" s="214">
        <v>90</v>
      </c>
      <c r="R112" s="214">
        <v>0</v>
      </c>
      <c r="S112" s="214">
        <v>0</v>
      </c>
      <c r="T112" s="214">
        <v>0</v>
      </c>
      <c r="U112" s="214">
        <v>137.5</v>
      </c>
      <c r="V112" s="214">
        <v>167.5</v>
      </c>
      <c r="W112" s="214">
        <v>170</v>
      </c>
      <c r="X112" s="214">
        <v>0</v>
      </c>
      <c r="Y112" s="214">
        <v>92.5</v>
      </c>
      <c r="Z112" s="214">
        <v>113</v>
      </c>
      <c r="AA112" s="214">
        <v>185</v>
      </c>
      <c r="AB112" s="214">
        <v>193</v>
      </c>
      <c r="AC112" s="214">
        <v>162.5</v>
      </c>
      <c r="AD112" s="214">
        <v>162.5</v>
      </c>
      <c r="AE112" s="214">
        <v>151</v>
      </c>
      <c r="AF112" s="214">
        <v>125</v>
      </c>
      <c r="AG112" s="214">
        <v>120</v>
      </c>
      <c r="AH112" s="214">
        <v>115</v>
      </c>
      <c r="AI112" s="214">
        <v>97.5</v>
      </c>
      <c r="AJ112" s="214">
        <v>77.5</v>
      </c>
      <c r="AK112" s="214">
        <v>0</v>
      </c>
      <c r="AL112" s="214">
        <v>0</v>
      </c>
    </row>
    <row r="113" spans="1:38" x14ac:dyDescent="0.25">
      <c r="A113" s="214" t="s">
        <v>272</v>
      </c>
      <c r="B113" s="214">
        <v>0</v>
      </c>
      <c r="C113" s="214">
        <v>0</v>
      </c>
      <c r="D113" s="214">
        <v>177.5</v>
      </c>
      <c r="E113" s="214">
        <v>412.5</v>
      </c>
      <c r="F113" s="214">
        <v>475.5</v>
      </c>
      <c r="G113" s="214">
        <v>500</v>
      </c>
      <c r="H113" s="214">
        <v>522.5</v>
      </c>
      <c r="I113" s="214">
        <v>522.5</v>
      </c>
      <c r="J113" s="214">
        <v>445</v>
      </c>
      <c r="K113" s="214">
        <v>397.5</v>
      </c>
      <c r="L113" s="214">
        <v>392.5</v>
      </c>
      <c r="M113" s="214">
        <v>365</v>
      </c>
      <c r="N113" s="214">
        <v>292.5</v>
      </c>
      <c r="O113" s="214">
        <v>207.5</v>
      </c>
      <c r="P113" s="214">
        <v>207.5</v>
      </c>
      <c r="Q113" s="214">
        <v>207.5</v>
      </c>
      <c r="R113" s="214">
        <v>0</v>
      </c>
      <c r="S113" s="214">
        <v>0</v>
      </c>
      <c r="T113" s="214">
        <v>0</v>
      </c>
      <c r="U113" s="214">
        <v>327.5</v>
      </c>
      <c r="V113" s="214">
        <v>370</v>
      </c>
      <c r="W113" s="214">
        <v>390</v>
      </c>
      <c r="X113" s="214">
        <v>177.5</v>
      </c>
      <c r="Y113" s="214">
        <v>215</v>
      </c>
      <c r="Z113" s="214">
        <v>262.5</v>
      </c>
      <c r="AA113" s="214">
        <v>418</v>
      </c>
      <c r="AB113" s="214">
        <v>463</v>
      </c>
      <c r="AC113" s="214">
        <v>370.5</v>
      </c>
      <c r="AD113" s="214">
        <v>347.5</v>
      </c>
      <c r="AE113" s="214">
        <v>335.5</v>
      </c>
      <c r="AF113" s="214">
        <v>280</v>
      </c>
      <c r="AG113" s="214">
        <v>267.5</v>
      </c>
      <c r="AH113" s="214">
        <v>247.5</v>
      </c>
      <c r="AI113" s="214">
        <v>212.5</v>
      </c>
      <c r="AJ113" s="214">
        <v>180</v>
      </c>
      <c r="AK113" s="214">
        <v>0</v>
      </c>
      <c r="AL113" s="214">
        <v>0</v>
      </c>
    </row>
    <row r="114" spans="1:38" x14ac:dyDescent="0.25">
      <c r="A114" s="214" t="s">
        <v>273</v>
      </c>
      <c r="B114" s="214">
        <v>0</v>
      </c>
      <c r="C114" s="214">
        <v>37.5</v>
      </c>
      <c r="D114" s="214">
        <v>0</v>
      </c>
      <c r="E114" s="214">
        <v>165</v>
      </c>
      <c r="F114" s="214">
        <v>182.5</v>
      </c>
      <c r="G114" s="214">
        <v>202.5</v>
      </c>
      <c r="H114" s="214">
        <v>202.5</v>
      </c>
      <c r="I114" s="214">
        <v>215</v>
      </c>
      <c r="J114" s="214">
        <v>200</v>
      </c>
      <c r="K114" s="214">
        <v>187.5</v>
      </c>
      <c r="L114" s="214">
        <v>175</v>
      </c>
      <c r="M114" s="214">
        <v>162.5</v>
      </c>
      <c r="N114" s="214">
        <v>110</v>
      </c>
      <c r="O114" s="214">
        <v>110</v>
      </c>
      <c r="P114" s="214">
        <v>90</v>
      </c>
      <c r="Q114" s="214">
        <v>67.5</v>
      </c>
      <c r="R114" s="214">
        <v>0</v>
      </c>
      <c r="S114" s="214">
        <v>0</v>
      </c>
      <c r="T114" s="214">
        <v>0</v>
      </c>
      <c r="U114" s="214">
        <v>146</v>
      </c>
      <c r="V114" s="214">
        <v>146</v>
      </c>
      <c r="W114" s="214">
        <v>152.5</v>
      </c>
      <c r="X114" s="214">
        <v>0</v>
      </c>
      <c r="Y114" s="214">
        <v>68</v>
      </c>
      <c r="Z114" s="214">
        <v>107.5</v>
      </c>
      <c r="AA114" s="214">
        <v>160</v>
      </c>
      <c r="AB114" s="214">
        <v>180</v>
      </c>
      <c r="AC114" s="214">
        <v>155</v>
      </c>
      <c r="AD114" s="214">
        <v>155</v>
      </c>
      <c r="AE114" s="214">
        <v>132.5</v>
      </c>
      <c r="AF114" s="214">
        <v>131</v>
      </c>
      <c r="AG114" s="214">
        <v>102.5</v>
      </c>
      <c r="AH114" s="214">
        <v>90</v>
      </c>
      <c r="AI114" s="214">
        <v>82.5</v>
      </c>
      <c r="AJ114" s="214">
        <v>32.5</v>
      </c>
      <c r="AK114" s="214">
        <v>0</v>
      </c>
      <c r="AL114" s="214">
        <v>0</v>
      </c>
    </row>
    <row r="115" spans="1:38" x14ac:dyDescent="0.25">
      <c r="A115" s="214" t="s">
        <v>274</v>
      </c>
      <c r="B115" s="214">
        <v>0</v>
      </c>
      <c r="C115" s="214">
        <v>25</v>
      </c>
      <c r="D115" s="214">
        <v>0</v>
      </c>
      <c r="E115" s="214">
        <v>92.5</v>
      </c>
      <c r="F115" s="214">
        <v>102.5</v>
      </c>
      <c r="G115" s="214">
        <v>117.5</v>
      </c>
      <c r="H115" s="214">
        <v>125</v>
      </c>
      <c r="I115" s="214">
        <v>150</v>
      </c>
      <c r="J115" s="214">
        <v>140.5</v>
      </c>
      <c r="K115" s="214">
        <v>130</v>
      </c>
      <c r="L115" s="214">
        <v>130</v>
      </c>
      <c r="M115" s="214">
        <v>85</v>
      </c>
      <c r="N115" s="214">
        <v>75</v>
      </c>
      <c r="O115" s="214">
        <v>72.5</v>
      </c>
      <c r="P115" s="214">
        <v>72.5</v>
      </c>
      <c r="Q115" s="214">
        <v>35</v>
      </c>
      <c r="R115" s="214">
        <v>0</v>
      </c>
      <c r="S115" s="214">
        <v>0</v>
      </c>
      <c r="T115" s="214">
        <v>0</v>
      </c>
      <c r="U115" s="214">
        <v>65</v>
      </c>
      <c r="V115" s="214">
        <v>82.5</v>
      </c>
      <c r="W115" s="214">
        <v>95</v>
      </c>
      <c r="X115" s="214">
        <v>0</v>
      </c>
      <c r="Y115" s="214">
        <v>32.5</v>
      </c>
      <c r="Z115" s="214">
        <v>58</v>
      </c>
      <c r="AA115" s="214">
        <v>100</v>
      </c>
      <c r="AB115" s="214">
        <v>142.5</v>
      </c>
      <c r="AC115" s="214">
        <v>142.5</v>
      </c>
      <c r="AD115" s="214">
        <v>142.5</v>
      </c>
      <c r="AE115" s="214">
        <v>80</v>
      </c>
      <c r="AF115" s="214">
        <v>75</v>
      </c>
      <c r="AG115" s="214">
        <v>73</v>
      </c>
      <c r="AH115" s="214">
        <v>62.5</v>
      </c>
      <c r="AI115" s="214">
        <v>62.5</v>
      </c>
      <c r="AJ115" s="214">
        <v>32.5</v>
      </c>
      <c r="AK115" s="214">
        <v>0</v>
      </c>
      <c r="AL115" s="214">
        <v>0</v>
      </c>
    </row>
    <row r="116" spans="1:38" x14ac:dyDescent="0.25">
      <c r="A116" s="214" t="s">
        <v>275</v>
      </c>
      <c r="B116" s="214">
        <v>0</v>
      </c>
      <c r="C116" s="214">
        <v>52.5</v>
      </c>
      <c r="D116" s="214">
        <v>0</v>
      </c>
      <c r="E116" s="214">
        <v>181.4</v>
      </c>
      <c r="F116" s="214">
        <v>205</v>
      </c>
      <c r="G116" s="214">
        <v>215</v>
      </c>
      <c r="H116" s="214">
        <v>215</v>
      </c>
      <c r="I116" s="214">
        <v>227.5</v>
      </c>
      <c r="J116" s="214">
        <v>197.5</v>
      </c>
      <c r="K116" s="214">
        <v>190</v>
      </c>
      <c r="L116" s="214">
        <v>183</v>
      </c>
      <c r="M116" s="214">
        <v>180</v>
      </c>
      <c r="N116" s="214">
        <v>137.5</v>
      </c>
      <c r="O116" s="214">
        <v>130</v>
      </c>
      <c r="P116" s="214">
        <v>130</v>
      </c>
      <c r="Q116" s="214">
        <v>80</v>
      </c>
      <c r="R116" s="214">
        <v>0</v>
      </c>
      <c r="S116" s="214">
        <v>0</v>
      </c>
      <c r="T116" s="214">
        <v>0</v>
      </c>
      <c r="U116" s="214">
        <v>164.5</v>
      </c>
      <c r="V116" s="214">
        <v>166</v>
      </c>
      <c r="W116" s="214">
        <v>195</v>
      </c>
      <c r="X116" s="214">
        <v>0</v>
      </c>
      <c r="Y116" s="214">
        <v>95.5</v>
      </c>
      <c r="Z116" s="214">
        <v>140</v>
      </c>
      <c r="AA116" s="214">
        <v>197.5</v>
      </c>
      <c r="AB116" s="214">
        <v>221</v>
      </c>
      <c r="AC116" s="214">
        <v>202.5</v>
      </c>
      <c r="AD116" s="214">
        <v>202.5</v>
      </c>
      <c r="AE116" s="214">
        <v>175.5</v>
      </c>
      <c r="AF116" s="214">
        <v>160</v>
      </c>
      <c r="AG116" s="214">
        <v>135.5</v>
      </c>
      <c r="AH116" s="214">
        <v>125</v>
      </c>
      <c r="AI116" s="214">
        <v>125</v>
      </c>
      <c r="AJ116" s="214">
        <v>60</v>
      </c>
      <c r="AK116" s="214">
        <v>0</v>
      </c>
      <c r="AL116" s="214">
        <v>0</v>
      </c>
    </row>
    <row r="117" spans="1:38" x14ac:dyDescent="0.25">
      <c r="A117" s="214" t="s">
        <v>276</v>
      </c>
      <c r="B117" s="214">
        <v>0</v>
      </c>
      <c r="C117" s="214">
        <v>115</v>
      </c>
      <c r="D117" s="214">
        <v>0</v>
      </c>
      <c r="E117" s="214">
        <v>417.5</v>
      </c>
      <c r="F117" s="214">
        <v>477.5</v>
      </c>
      <c r="G117" s="214">
        <v>500</v>
      </c>
      <c r="H117" s="214">
        <v>500</v>
      </c>
      <c r="I117" s="214">
        <v>547.5</v>
      </c>
      <c r="J117" s="214">
        <v>507.5</v>
      </c>
      <c r="K117" s="214">
        <v>457.5</v>
      </c>
      <c r="L117" s="214">
        <v>452.5</v>
      </c>
      <c r="M117" s="214">
        <v>417.5</v>
      </c>
      <c r="N117" s="214">
        <v>312.5</v>
      </c>
      <c r="O117" s="214">
        <v>297.5</v>
      </c>
      <c r="P117" s="214">
        <v>292.5</v>
      </c>
      <c r="Q117" s="214">
        <v>182.5</v>
      </c>
      <c r="R117" s="214">
        <v>0</v>
      </c>
      <c r="S117" s="214">
        <v>0</v>
      </c>
      <c r="T117" s="214">
        <v>0</v>
      </c>
      <c r="U117" s="214">
        <v>363</v>
      </c>
      <c r="V117" s="214">
        <v>376</v>
      </c>
      <c r="W117" s="214">
        <v>417.5</v>
      </c>
      <c r="X117" s="214">
        <v>0</v>
      </c>
      <c r="Y117" s="214">
        <v>192.5</v>
      </c>
      <c r="Z117" s="214">
        <v>305.5</v>
      </c>
      <c r="AA117" s="214">
        <v>442.5</v>
      </c>
      <c r="AB117" s="214">
        <v>499.5</v>
      </c>
      <c r="AC117" s="214">
        <v>499.5</v>
      </c>
      <c r="AD117" s="214">
        <v>499.5</v>
      </c>
      <c r="AE117" s="214">
        <v>353</v>
      </c>
      <c r="AF117" s="214">
        <v>352.5</v>
      </c>
      <c r="AG117" s="214">
        <v>311</v>
      </c>
      <c r="AH117" s="214">
        <v>270</v>
      </c>
      <c r="AI117" s="214">
        <v>267.5</v>
      </c>
      <c r="AJ117" s="214">
        <v>125</v>
      </c>
      <c r="AK117" s="214">
        <v>0</v>
      </c>
      <c r="AL117" s="214">
        <v>0</v>
      </c>
    </row>
    <row r="118" spans="1:38" x14ac:dyDescent="0.25">
      <c r="A118" s="214" t="s">
        <v>277</v>
      </c>
      <c r="B118" s="214">
        <v>0</v>
      </c>
      <c r="C118" s="214">
        <v>0</v>
      </c>
      <c r="D118" s="214">
        <v>0</v>
      </c>
      <c r="E118" s="214">
        <v>175</v>
      </c>
      <c r="F118" s="214">
        <v>200</v>
      </c>
      <c r="G118" s="214">
        <v>217.5</v>
      </c>
      <c r="H118" s="214">
        <v>222.5</v>
      </c>
      <c r="I118" s="214">
        <v>255</v>
      </c>
      <c r="J118" s="214">
        <v>245</v>
      </c>
      <c r="K118" s="214">
        <v>240</v>
      </c>
      <c r="L118" s="214">
        <v>170</v>
      </c>
      <c r="M118" s="214">
        <v>162.5</v>
      </c>
      <c r="N118" s="214">
        <v>152.5</v>
      </c>
      <c r="O118" s="214">
        <v>142.5</v>
      </c>
      <c r="P118" s="214">
        <v>140</v>
      </c>
      <c r="Q118" s="214">
        <v>38.6</v>
      </c>
      <c r="R118" s="214">
        <v>0</v>
      </c>
      <c r="S118" s="214">
        <v>0</v>
      </c>
      <c r="T118" s="214">
        <v>0</v>
      </c>
      <c r="U118" s="214">
        <v>125</v>
      </c>
      <c r="V118" s="214">
        <v>168.5</v>
      </c>
      <c r="W118" s="214">
        <v>180</v>
      </c>
      <c r="X118" s="214">
        <v>0</v>
      </c>
      <c r="Y118" s="214">
        <v>77.5</v>
      </c>
      <c r="Z118" s="214">
        <v>113</v>
      </c>
      <c r="AA118" s="214">
        <v>180</v>
      </c>
      <c r="AB118" s="214">
        <v>188</v>
      </c>
      <c r="AC118" s="214">
        <v>175</v>
      </c>
      <c r="AD118" s="214">
        <v>147.5</v>
      </c>
      <c r="AE118" s="214">
        <v>145.5</v>
      </c>
      <c r="AF118" s="214">
        <v>145.5</v>
      </c>
      <c r="AG118" s="214">
        <v>120.5</v>
      </c>
      <c r="AH118" s="214">
        <v>105</v>
      </c>
      <c r="AI118" s="214">
        <v>105</v>
      </c>
      <c r="AJ118" s="214">
        <v>45</v>
      </c>
      <c r="AK118" s="214">
        <v>0</v>
      </c>
      <c r="AL118" s="214">
        <v>0</v>
      </c>
    </row>
    <row r="119" spans="1:38" x14ac:dyDescent="0.25">
      <c r="A119" s="214" t="s">
        <v>278</v>
      </c>
      <c r="B119" s="214">
        <v>0</v>
      </c>
      <c r="C119" s="214">
        <v>0</v>
      </c>
      <c r="D119" s="214">
        <v>0</v>
      </c>
      <c r="E119" s="214">
        <v>90</v>
      </c>
      <c r="F119" s="214">
        <v>120</v>
      </c>
      <c r="G119" s="214">
        <v>132.5</v>
      </c>
      <c r="H119" s="214">
        <v>137.5</v>
      </c>
      <c r="I119" s="214">
        <v>170</v>
      </c>
      <c r="J119" s="214">
        <v>165</v>
      </c>
      <c r="K119" s="214">
        <v>165</v>
      </c>
      <c r="L119" s="214">
        <v>115</v>
      </c>
      <c r="M119" s="214">
        <v>105</v>
      </c>
      <c r="N119" s="214">
        <v>92.5</v>
      </c>
      <c r="O119" s="214">
        <v>90</v>
      </c>
      <c r="P119" s="214">
        <v>90</v>
      </c>
      <c r="Q119" s="214">
        <v>27.2</v>
      </c>
      <c r="R119" s="214">
        <v>0</v>
      </c>
      <c r="S119" s="214">
        <v>0</v>
      </c>
      <c r="T119" s="214">
        <v>0</v>
      </c>
      <c r="U119" s="214">
        <v>67</v>
      </c>
      <c r="V119" s="214">
        <v>107.5</v>
      </c>
      <c r="W119" s="214">
        <v>115</v>
      </c>
      <c r="X119" s="214">
        <v>0</v>
      </c>
      <c r="Y119" s="214">
        <v>32.5</v>
      </c>
      <c r="Z119" s="214">
        <v>58</v>
      </c>
      <c r="AA119" s="214">
        <v>115</v>
      </c>
      <c r="AB119" s="214">
        <v>144</v>
      </c>
      <c r="AC119" s="214">
        <v>144</v>
      </c>
      <c r="AD119" s="214">
        <v>115</v>
      </c>
      <c r="AE119" s="214">
        <v>87.5</v>
      </c>
      <c r="AF119" s="214">
        <v>80.5</v>
      </c>
      <c r="AG119" s="214">
        <v>80.5</v>
      </c>
      <c r="AH119" s="214">
        <v>70</v>
      </c>
      <c r="AI119" s="214">
        <v>67.5</v>
      </c>
      <c r="AJ119" s="214">
        <v>42.5</v>
      </c>
      <c r="AK119" s="214">
        <v>0</v>
      </c>
      <c r="AL119" s="214">
        <v>0</v>
      </c>
    </row>
    <row r="120" spans="1:38" x14ac:dyDescent="0.25">
      <c r="A120" s="214" t="s">
        <v>279</v>
      </c>
      <c r="B120" s="214">
        <v>0</v>
      </c>
      <c r="C120" s="214">
        <v>0</v>
      </c>
      <c r="D120" s="214">
        <v>0</v>
      </c>
      <c r="E120" s="214">
        <v>170</v>
      </c>
      <c r="F120" s="214">
        <v>220</v>
      </c>
      <c r="G120" s="214">
        <v>220</v>
      </c>
      <c r="H120" s="214">
        <v>220</v>
      </c>
      <c r="I120" s="214">
        <v>252.5</v>
      </c>
      <c r="J120" s="214">
        <v>249</v>
      </c>
      <c r="K120" s="214">
        <v>249</v>
      </c>
      <c r="L120" s="214">
        <v>180</v>
      </c>
      <c r="M120" s="214">
        <v>180</v>
      </c>
      <c r="N120" s="214">
        <v>157.5</v>
      </c>
      <c r="O120" s="214">
        <v>157.5</v>
      </c>
      <c r="P120" s="214">
        <v>150</v>
      </c>
      <c r="Q120" s="214">
        <v>61.2</v>
      </c>
      <c r="R120" s="214">
        <v>0</v>
      </c>
      <c r="S120" s="214">
        <v>0</v>
      </c>
      <c r="T120" s="214">
        <v>0</v>
      </c>
      <c r="U120" s="214">
        <v>147.5</v>
      </c>
      <c r="V120" s="214">
        <v>200.5</v>
      </c>
      <c r="W120" s="214">
        <v>205</v>
      </c>
      <c r="X120" s="214">
        <v>0</v>
      </c>
      <c r="Y120" s="214">
        <v>107.5</v>
      </c>
      <c r="Z120" s="214">
        <v>132.5</v>
      </c>
      <c r="AA120" s="214">
        <v>205</v>
      </c>
      <c r="AB120" s="214">
        <v>246</v>
      </c>
      <c r="AC120" s="214">
        <v>205</v>
      </c>
      <c r="AD120" s="214">
        <v>195</v>
      </c>
      <c r="AE120" s="214">
        <v>195</v>
      </c>
      <c r="AF120" s="214">
        <v>195</v>
      </c>
      <c r="AG120" s="214">
        <v>150.5</v>
      </c>
      <c r="AH120" s="214">
        <v>130</v>
      </c>
      <c r="AI120" s="214">
        <v>125</v>
      </c>
      <c r="AJ120" s="214">
        <v>92.5</v>
      </c>
      <c r="AK120" s="214">
        <v>0</v>
      </c>
      <c r="AL120" s="214">
        <v>0</v>
      </c>
    </row>
    <row r="121" spans="1:38" x14ac:dyDescent="0.25">
      <c r="A121" s="214" t="s">
        <v>280</v>
      </c>
      <c r="B121" s="214">
        <v>0</v>
      </c>
      <c r="C121" s="214">
        <v>0</v>
      </c>
      <c r="D121" s="214">
        <v>0</v>
      </c>
      <c r="E121" s="214">
        <v>430</v>
      </c>
      <c r="F121" s="214">
        <v>500</v>
      </c>
      <c r="G121" s="214">
        <v>530</v>
      </c>
      <c r="H121" s="214">
        <v>542.5</v>
      </c>
      <c r="I121" s="214">
        <v>654</v>
      </c>
      <c r="J121" s="214">
        <v>654</v>
      </c>
      <c r="K121" s="214">
        <v>654</v>
      </c>
      <c r="L121" s="214">
        <v>450</v>
      </c>
      <c r="M121" s="214">
        <v>445</v>
      </c>
      <c r="N121" s="214">
        <v>390</v>
      </c>
      <c r="O121" s="214">
        <v>390</v>
      </c>
      <c r="P121" s="214">
        <v>377.5</v>
      </c>
      <c r="Q121" s="214">
        <v>127</v>
      </c>
      <c r="R121" s="214">
        <v>0</v>
      </c>
      <c r="S121" s="214">
        <v>0</v>
      </c>
      <c r="T121" s="214">
        <v>0</v>
      </c>
      <c r="U121" s="214">
        <v>337.5</v>
      </c>
      <c r="V121" s="214">
        <v>476.5</v>
      </c>
      <c r="W121" s="214">
        <v>497.5</v>
      </c>
      <c r="X121" s="214">
        <v>0</v>
      </c>
      <c r="Y121" s="214">
        <v>225</v>
      </c>
      <c r="Z121" s="214">
        <v>303.5</v>
      </c>
      <c r="AA121" s="214">
        <v>497.5</v>
      </c>
      <c r="AB121" s="214">
        <v>549</v>
      </c>
      <c r="AC121" s="214">
        <v>487.5</v>
      </c>
      <c r="AD121" s="214">
        <v>452.5</v>
      </c>
      <c r="AE121" s="214">
        <v>418.5</v>
      </c>
      <c r="AF121" s="214">
        <v>418.5</v>
      </c>
      <c r="AG121" s="214">
        <v>332.5</v>
      </c>
      <c r="AH121" s="214">
        <v>305</v>
      </c>
      <c r="AI121" s="214">
        <v>297.5</v>
      </c>
      <c r="AJ121" s="214">
        <v>180</v>
      </c>
      <c r="AK121" s="214">
        <v>0</v>
      </c>
      <c r="AL121" s="214">
        <v>0</v>
      </c>
    </row>
    <row r="122" spans="1:38" x14ac:dyDescent="0.25">
      <c r="A122" s="214" t="s">
        <v>281</v>
      </c>
      <c r="B122" s="214">
        <v>0</v>
      </c>
      <c r="C122" s="214">
        <v>37.5</v>
      </c>
      <c r="D122" s="214">
        <v>55</v>
      </c>
      <c r="E122" s="214">
        <v>180</v>
      </c>
      <c r="F122" s="214">
        <v>210.5</v>
      </c>
      <c r="G122" s="214">
        <v>227.5</v>
      </c>
      <c r="H122" s="214">
        <v>240.5</v>
      </c>
      <c r="I122" s="214">
        <v>273.5</v>
      </c>
      <c r="J122" s="214">
        <v>247.5</v>
      </c>
      <c r="K122" s="214">
        <v>245</v>
      </c>
      <c r="L122" s="214">
        <v>180</v>
      </c>
      <c r="M122" s="214">
        <v>145</v>
      </c>
      <c r="N122" s="214">
        <v>105</v>
      </c>
      <c r="O122" s="214">
        <v>105</v>
      </c>
      <c r="P122" s="214">
        <v>105</v>
      </c>
      <c r="Q122" s="214">
        <v>97.5</v>
      </c>
      <c r="R122" s="214">
        <v>0</v>
      </c>
      <c r="S122" s="214">
        <v>0</v>
      </c>
      <c r="T122" s="214">
        <v>0</v>
      </c>
      <c r="U122" s="214">
        <v>130</v>
      </c>
      <c r="V122" s="214">
        <v>180</v>
      </c>
      <c r="W122" s="214">
        <v>222.5</v>
      </c>
      <c r="X122" s="214">
        <v>0</v>
      </c>
      <c r="Y122" s="214">
        <v>62.5</v>
      </c>
      <c r="Z122" s="214">
        <v>125</v>
      </c>
      <c r="AA122" s="214">
        <v>225</v>
      </c>
      <c r="AB122" s="214">
        <v>222.5</v>
      </c>
      <c r="AC122" s="214">
        <v>200</v>
      </c>
      <c r="AD122" s="214">
        <v>200</v>
      </c>
      <c r="AE122" s="214">
        <v>145</v>
      </c>
      <c r="AF122" s="214">
        <v>142.5</v>
      </c>
      <c r="AG122" s="214">
        <v>115.5</v>
      </c>
      <c r="AH122" s="214">
        <v>100</v>
      </c>
      <c r="AI122" s="214">
        <v>82.5</v>
      </c>
      <c r="AJ122" s="214">
        <v>82.5</v>
      </c>
      <c r="AK122" s="214">
        <v>0</v>
      </c>
      <c r="AL122" s="214">
        <v>0</v>
      </c>
    </row>
    <row r="123" spans="1:38" x14ac:dyDescent="0.25">
      <c r="A123" s="214" t="s">
        <v>282</v>
      </c>
      <c r="B123" s="214">
        <v>0</v>
      </c>
      <c r="C123" s="214">
        <v>27.5</v>
      </c>
      <c r="D123" s="214">
        <v>35</v>
      </c>
      <c r="E123" s="214">
        <v>100</v>
      </c>
      <c r="F123" s="214">
        <v>137.5</v>
      </c>
      <c r="G123" s="214">
        <v>140</v>
      </c>
      <c r="H123" s="214">
        <v>166</v>
      </c>
      <c r="I123" s="214">
        <v>192.5</v>
      </c>
      <c r="J123" s="214">
        <v>192.5</v>
      </c>
      <c r="K123" s="214">
        <v>192.5</v>
      </c>
      <c r="L123" s="214">
        <v>130.5</v>
      </c>
      <c r="M123" s="214">
        <v>102.5</v>
      </c>
      <c r="N123" s="214">
        <v>75</v>
      </c>
      <c r="O123" s="214">
        <v>75</v>
      </c>
      <c r="P123" s="214">
        <v>75</v>
      </c>
      <c r="Q123" s="214">
        <v>72.5</v>
      </c>
      <c r="R123" s="214">
        <v>0</v>
      </c>
      <c r="S123" s="214">
        <v>0</v>
      </c>
      <c r="T123" s="214">
        <v>0</v>
      </c>
      <c r="U123" s="214">
        <v>67.5</v>
      </c>
      <c r="V123" s="214">
        <v>105</v>
      </c>
      <c r="W123" s="214">
        <v>127.5</v>
      </c>
      <c r="X123" s="214">
        <v>0</v>
      </c>
      <c r="Y123" s="214">
        <v>42.5</v>
      </c>
      <c r="Z123" s="214">
        <v>52.5</v>
      </c>
      <c r="AA123" s="214">
        <v>127.5</v>
      </c>
      <c r="AB123" s="214">
        <v>127.5</v>
      </c>
      <c r="AC123" s="214">
        <v>125</v>
      </c>
      <c r="AD123" s="214">
        <v>125</v>
      </c>
      <c r="AE123" s="214">
        <v>100</v>
      </c>
      <c r="AF123" s="214">
        <v>90</v>
      </c>
      <c r="AG123" s="214">
        <v>72.5</v>
      </c>
      <c r="AH123" s="214">
        <v>72.5</v>
      </c>
      <c r="AI123" s="214">
        <v>57.5</v>
      </c>
      <c r="AJ123" s="214">
        <v>52.5</v>
      </c>
      <c r="AK123" s="214">
        <v>0</v>
      </c>
      <c r="AL123" s="214">
        <v>0</v>
      </c>
    </row>
    <row r="124" spans="1:38" x14ac:dyDescent="0.25">
      <c r="A124" s="214" t="s">
        <v>283</v>
      </c>
      <c r="B124" s="214">
        <v>0</v>
      </c>
      <c r="C124" s="214">
        <v>0</v>
      </c>
      <c r="D124" s="214">
        <v>87.5</v>
      </c>
      <c r="E124" s="214">
        <v>200</v>
      </c>
      <c r="F124" s="214">
        <v>200</v>
      </c>
      <c r="G124" s="214">
        <v>225</v>
      </c>
      <c r="H124" s="214">
        <v>235</v>
      </c>
      <c r="I124" s="214">
        <v>235</v>
      </c>
      <c r="J124" s="214">
        <v>228</v>
      </c>
      <c r="K124" s="214">
        <v>228</v>
      </c>
      <c r="L124" s="214">
        <v>210</v>
      </c>
      <c r="M124" s="214">
        <v>152.5</v>
      </c>
      <c r="N124" s="214">
        <v>135</v>
      </c>
      <c r="O124" s="214">
        <v>135</v>
      </c>
      <c r="P124" s="214">
        <v>135</v>
      </c>
      <c r="Q124" s="214">
        <v>122.5</v>
      </c>
      <c r="R124" s="214">
        <v>0</v>
      </c>
      <c r="S124" s="214">
        <v>0</v>
      </c>
      <c r="T124" s="214">
        <v>0</v>
      </c>
      <c r="U124" s="214">
        <v>181.4</v>
      </c>
      <c r="V124" s="214">
        <v>205</v>
      </c>
      <c r="W124" s="214">
        <v>227.5</v>
      </c>
      <c r="X124" s="214">
        <v>0</v>
      </c>
      <c r="Y124" s="214">
        <v>93</v>
      </c>
      <c r="Z124" s="214">
        <v>137.5</v>
      </c>
      <c r="AA124" s="214">
        <v>227.5</v>
      </c>
      <c r="AB124" s="214">
        <v>235</v>
      </c>
      <c r="AC124" s="214">
        <v>227.5</v>
      </c>
      <c r="AD124" s="214">
        <v>227.5</v>
      </c>
      <c r="AE124" s="214">
        <v>170</v>
      </c>
      <c r="AF124" s="214">
        <v>152.5</v>
      </c>
      <c r="AG124" s="214">
        <v>152.5</v>
      </c>
      <c r="AH124" s="214">
        <v>132.5</v>
      </c>
      <c r="AI124" s="214">
        <v>125</v>
      </c>
      <c r="AJ124" s="214">
        <v>125</v>
      </c>
      <c r="AK124" s="214">
        <v>0</v>
      </c>
      <c r="AL124" s="214">
        <v>0</v>
      </c>
    </row>
    <row r="125" spans="1:38" x14ac:dyDescent="0.25">
      <c r="A125" s="214" t="s">
        <v>284</v>
      </c>
      <c r="B125" s="214">
        <v>0</v>
      </c>
      <c r="C125" s="214">
        <v>175</v>
      </c>
      <c r="D125" s="214">
        <v>175</v>
      </c>
      <c r="E125" s="214">
        <v>475</v>
      </c>
      <c r="F125" s="214">
        <v>507.5</v>
      </c>
      <c r="G125" s="214">
        <v>555</v>
      </c>
      <c r="H125" s="214">
        <v>612.5</v>
      </c>
      <c r="I125" s="214">
        <v>671</v>
      </c>
      <c r="J125" s="214">
        <v>663.5</v>
      </c>
      <c r="K125" s="214">
        <v>663.5</v>
      </c>
      <c r="L125" s="214">
        <v>483</v>
      </c>
      <c r="M125" s="214">
        <v>392.5</v>
      </c>
      <c r="N125" s="214">
        <v>307.5</v>
      </c>
      <c r="O125" s="214">
        <v>307.5</v>
      </c>
      <c r="P125" s="214">
        <v>307.5</v>
      </c>
      <c r="Q125" s="214">
        <v>280</v>
      </c>
      <c r="R125" s="214">
        <v>0</v>
      </c>
      <c r="S125" s="214">
        <v>0</v>
      </c>
      <c r="T125" s="214">
        <v>0</v>
      </c>
      <c r="U125" s="214">
        <v>337.5</v>
      </c>
      <c r="V125" s="214">
        <v>490</v>
      </c>
      <c r="W125" s="214">
        <v>572.5</v>
      </c>
      <c r="X125" s="214">
        <v>0</v>
      </c>
      <c r="Y125" s="214">
        <v>198</v>
      </c>
      <c r="Z125" s="214">
        <v>315</v>
      </c>
      <c r="AA125" s="214">
        <v>572.5</v>
      </c>
      <c r="AB125" s="214">
        <v>572.5</v>
      </c>
      <c r="AC125" s="214">
        <v>512.5</v>
      </c>
      <c r="AD125" s="214">
        <v>512.5</v>
      </c>
      <c r="AE125" s="214">
        <v>395</v>
      </c>
      <c r="AF125" s="214">
        <v>372.5</v>
      </c>
      <c r="AG125" s="214">
        <v>330</v>
      </c>
      <c r="AH125" s="214">
        <v>305</v>
      </c>
      <c r="AI125" s="214">
        <v>255</v>
      </c>
      <c r="AJ125" s="214">
        <v>252.5</v>
      </c>
      <c r="AK125" s="214">
        <v>0</v>
      </c>
      <c r="AL125" s="214">
        <v>0</v>
      </c>
    </row>
    <row r="126" spans="1:38" x14ac:dyDescent="0.25">
      <c r="A126" s="214" t="s">
        <v>285</v>
      </c>
      <c r="B126" s="214">
        <v>0</v>
      </c>
      <c r="C126" s="214">
        <v>0</v>
      </c>
      <c r="D126" s="214">
        <v>162.5</v>
      </c>
      <c r="E126" s="214">
        <v>202.5</v>
      </c>
      <c r="F126" s="214">
        <v>262.5</v>
      </c>
      <c r="G126" s="214">
        <v>290</v>
      </c>
      <c r="H126" s="214">
        <v>292.5</v>
      </c>
      <c r="I126" s="214">
        <v>315</v>
      </c>
      <c r="J126" s="214">
        <v>255</v>
      </c>
      <c r="K126" s="214">
        <v>255</v>
      </c>
      <c r="L126" s="214">
        <v>255</v>
      </c>
      <c r="M126" s="214">
        <v>255</v>
      </c>
      <c r="N126" s="214">
        <v>237.5</v>
      </c>
      <c r="O126" s="214">
        <v>150</v>
      </c>
      <c r="P126" s="214">
        <v>0</v>
      </c>
      <c r="Q126" s="214">
        <v>0</v>
      </c>
      <c r="R126" s="214">
        <v>0</v>
      </c>
      <c r="S126" s="214">
        <v>0</v>
      </c>
      <c r="T126" s="214">
        <v>0</v>
      </c>
      <c r="U126" s="214">
        <v>182.5</v>
      </c>
      <c r="V126" s="214">
        <v>262.5</v>
      </c>
      <c r="W126" s="214">
        <v>262.5</v>
      </c>
      <c r="X126" s="214">
        <v>0</v>
      </c>
      <c r="Y126" s="214">
        <v>45</v>
      </c>
      <c r="Z126" s="214">
        <v>110</v>
      </c>
      <c r="AA126" s="214">
        <v>262.5</v>
      </c>
      <c r="AB126" s="214">
        <v>273</v>
      </c>
      <c r="AC126" s="214">
        <v>195</v>
      </c>
      <c r="AD126" s="214">
        <v>182.5</v>
      </c>
      <c r="AE126" s="214">
        <v>175</v>
      </c>
      <c r="AF126" s="214">
        <v>138.4</v>
      </c>
      <c r="AG126" s="214">
        <v>115</v>
      </c>
      <c r="AH126" s="214">
        <v>100.5</v>
      </c>
      <c r="AI126" s="214">
        <v>90</v>
      </c>
      <c r="AJ126" s="214">
        <v>90</v>
      </c>
      <c r="AK126" s="214">
        <v>52.5</v>
      </c>
      <c r="AL126" s="214">
        <v>0</v>
      </c>
    </row>
    <row r="127" spans="1:38" x14ac:dyDescent="0.25">
      <c r="A127" s="214" t="s">
        <v>286</v>
      </c>
      <c r="B127" s="214">
        <v>0</v>
      </c>
      <c r="C127" s="214">
        <v>0</v>
      </c>
      <c r="D127" s="214">
        <v>47.5</v>
      </c>
      <c r="E127" s="214">
        <v>112.5</v>
      </c>
      <c r="F127" s="214">
        <v>168</v>
      </c>
      <c r="G127" s="214">
        <v>178</v>
      </c>
      <c r="H127" s="214">
        <v>190</v>
      </c>
      <c r="I127" s="214">
        <v>210</v>
      </c>
      <c r="J127" s="214">
        <v>185</v>
      </c>
      <c r="K127" s="214">
        <v>157.5</v>
      </c>
      <c r="L127" s="214">
        <v>157.5</v>
      </c>
      <c r="M127" s="214">
        <v>157.5</v>
      </c>
      <c r="N127" s="214">
        <v>122.5</v>
      </c>
      <c r="O127" s="214">
        <v>67.5</v>
      </c>
      <c r="P127" s="214">
        <v>0</v>
      </c>
      <c r="Q127" s="214">
        <v>0</v>
      </c>
      <c r="R127" s="214">
        <v>0</v>
      </c>
      <c r="S127" s="214">
        <v>0</v>
      </c>
      <c r="T127" s="214">
        <v>0</v>
      </c>
      <c r="U127" s="214">
        <v>65</v>
      </c>
      <c r="V127" s="214">
        <v>120</v>
      </c>
      <c r="W127" s="214">
        <v>120</v>
      </c>
      <c r="X127" s="214">
        <v>0</v>
      </c>
      <c r="Y127" s="214">
        <v>42.5</v>
      </c>
      <c r="Z127" s="214">
        <v>50</v>
      </c>
      <c r="AA127" s="214">
        <v>120</v>
      </c>
      <c r="AB127" s="214">
        <v>151.5</v>
      </c>
      <c r="AC127" s="214">
        <v>121</v>
      </c>
      <c r="AD127" s="214">
        <v>120</v>
      </c>
      <c r="AE127" s="214">
        <v>115.5</v>
      </c>
      <c r="AF127" s="214">
        <v>93</v>
      </c>
      <c r="AG127" s="214">
        <v>80</v>
      </c>
      <c r="AH127" s="214">
        <v>80</v>
      </c>
      <c r="AI127" s="214">
        <v>80</v>
      </c>
      <c r="AJ127" s="214">
        <v>55</v>
      </c>
      <c r="AK127" s="214">
        <v>40</v>
      </c>
      <c r="AL127" s="214">
        <v>0</v>
      </c>
    </row>
    <row r="128" spans="1:38" x14ac:dyDescent="0.25">
      <c r="A128" s="214" t="s">
        <v>287</v>
      </c>
      <c r="B128" s="214">
        <v>0</v>
      </c>
      <c r="C128" s="214">
        <v>0</v>
      </c>
      <c r="D128" s="214">
        <v>135</v>
      </c>
      <c r="E128" s="214">
        <v>212.5</v>
      </c>
      <c r="F128" s="214">
        <v>230</v>
      </c>
      <c r="G128" s="214">
        <v>230</v>
      </c>
      <c r="H128" s="214">
        <v>230</v>
      </c>
      <c r="I128" s="214">
        <v>260.5</v>
      </c>
      <c r="J128" s="214">
        <v>227.5</v>
      </c>
      <c r="K128" s="214">
        <v>227.5</v>
      </c>
      <c r="L128" s="214">
        <v>227.5</v>
      </c>
      <c r="M128" s="214">
        <v>220</v>
      </c>
      <c r="N128" s="214">
        <v>215</v>
      </c>
      <c r="O128" s="214">
        <v>152.5</v>
      </c>
      <c r="P128" s="214">
        <v>0</v>
      </c>
      <c r="Q128" s="214">
        <v>0</v>
      </c>
      <c r="R128" s="214">
        <v>0</v>
      </c>
      <c r="S128" s="214">
        <v>0</v>
      </c>
      <c r="T128" s="214">
        <v>0</v>
      </c>
      <c r="U128" s="214">
        <v>127.5</v>
      </c>
      <c r="V128" s="214">
        <v>238</v>
      </c>
      <c r="W128" s="214">
        <v>238</v>
      </c>
      <c r="X128" s="214">
        <v>0</v>
      </c>
      <c r="Y128" s="214">
        <v>102.5</v>
      </c>
      <c r="Z128" s="214">
        <v>132.5</v>
      </c>
      <c r="AA128" s="214">
        <v>238</v>
      </c>
      <c r="AB128" s="214">
        <v>247</v>
      </c>
      <c r="AC128" s="214">
        <v>212.5</v>
      </c>
      <c r="AD128" s="214">
        <v>200</v>
      </c>
      <c r="AE128" s="214">
        <v>200</v>
      </c>
      <c r="AF128" s="214">
        <v>157.5</v>
      </c>
      <c r="AG128" s="214">
        <v>147.5</v>
      </c>
      <c r="AH128" s="214">
        <v>122.5</v>
      </c>
      <c r="AI128" s="214">
        <v>120</v>
      </c>
      <c r="AJ128" s="214">
        <v>120</v>
      </c>
      <c r="AK128" s="214">
        <v>115</v>
      </c>
      <c r="AL128" s="214">
        <v>0</v>
      </c>
    </row>
    <row r="129" spans="1:38" x14ac:dyDescent="0.25">
      <c r="A129" s="214" t="s">
        <v>288</v>
      </c>
      <c r="B129" s="214">
        <v>0</v>
      </c>
      <c r="C129" s="214">
        <v>345</v>
      </c>
      <c r="D129" s="214">
        <v>345</v>
      </c>
      <c r="E129" s="214">
        <v>502.5</v>
      </c>
      <c r="F129" s="214">
        <v>603.5</v>
      </c>
      <c r="G129" s="214">
        <v>625</v>
      </c>
      <c r="H129" s="214">
        <v>625</v>
      </c>
      <c r="I129" s="214">
        <v>778</v>
      </c>
      <c r="J129" s="214">
        <v>612.5</v>
      </c>
      <c r="K129" s="214">
        <v>612.5</v>
      </c>
      <c r="L129" s="214">
        <v>612.5</v>
      </c>
      <c r="M129" s="214">
        <v>612.5</v>
      </c>
      <c r="N129" s="214">
        <v>575</v>
      </c>
      <c r="O129" s="214">
        <v>370</v>
      </c>
      <c r="P129" s="214">
        <v>0</v>
      </c>
      <c r="Q129" s="214">
        <v>0</v>
      </c>
      <c r="R129" s="214">
        <v>0</v>
      </c>
      <c r="S129" s="214">
        <v>0</v>
      </c>
      <c r="T129" s="214">
        <v>0</v>
      </c>
      <c r="U129" s="214">
        <v>445</v>
      </c>
      <c r="V129" s="214">
        <v>615.5</v>
      </c>
      <c r="W129" s="214">
        <v>615.5</v>
      </c>
      <c r="X129" s="214">
        <v>0</v>
      </c>
      <c r="Y129" s="214">
        <v>190</v>
      </c>
      <c r="Z129" s="214">
        <v>292.5</v>
      </c>
      <c r="AA129" s="214">
        <v>615.5</v>
      </c>
      <c r="AB129" s="214">
        <v>671.5</v>
      </c>
      <c r="AC129" s="214">
        <v>500</v>
      </c>
      <c r="AD129" s="214">
        <v>480</v>
      </c>
      <c r="AE129" s="214">
        <v>480</v>
      </c>
      <c r="AF129" s="214">
        <v>369.7</v>
      </c>
      <c r="AG129" s="214">
        <v>300</v>
      </c>
      <c r="AH129" s="214">
        <v>285.5</v>
      </c>
      <c r="AI129" s="214">
        <v>265</v>
      </c>
      <c r="AJ129" s="214">
        <v>265</v>
      </c>
      <c r="AK129" s="214">
        <v>202.5</v>
      </c>
      <c r="AL129" s="214">
        <v>0</v>
      </c>
    </row>
    <row r="130" spans="1:38" x14ac:dyDescent="0.25">
      <c r="A130" s="214" t="s">
        <v>668</v>
      </c>
      <c r="B130" s="214">
        <v>0</v>
      </c>
      <c r="C130" s="214">
        <v>0</v>
      </c>
      <c r="D130" s="214">
        <v>0</v>
      </c>
      <c r="E130" s="214">
        <v>0</v>
      </c>
      <c r="F130" s="214">
        <v>0</v>
      </c>
      <c r="G130" s="214">
        <v>0</v>
      </c>
      <c r="H130" s="214">
        <v>0</v>
      </c>
      <c r="I130" s="214">
        <v>0</v>
      </c>
      <c r="J130" s="214">
        <v>0</v>
      </c>
      <c r="K130" s="214">
        <v>0</v>
      </c>
      <c r="L130" s="214">
        <v>0</v>
      </c>
      <c r="M130" s="214">
        <v>0</v>
      </c>
      <c r="N130" s="214">
        <v>0</v>
      </c>
      <c r="O130" s="214">
        <v>0</v>
      </c>
      <c r="P130" s="214">
        <v>0</v>
      </c>
      <c r="Q130" s="214">
        <v>0</v>
      </c>
      <c r="R130" s="214">
        <v>0</v>
      </c>
      <c r="S130" s="214">
        <v>0</v>
      </c>
      <c r="T130" s="214">
        <v>0</v>
      </c>
      <c r="U130" s="214">
        <v>0</v>
      </c>
      <c r="V130" s="214">
        <v>0</v>
      </c>
      <c r="W130" s="214">
        <v>0</v>
      </c>
      <c r="X130" s="214">
        <v>25</v>
      </c>
      <c r="Y130" s="214">
        <v>25.5</v>
      </c>
      <c r="Z130" s="214">
        <v>25.5</v>
      </c>
      <c r="AA130" s="214">
        <v>0</v>
      </c>
      <c r="AB130" s="214">
        <v>0</v>
      </c>
      <c r="AC130" s="214">
        <v>0</v>
      </c>
      <c r="AD130" s="214">
        <v>0</v>
      </c>
      <c r="AE130" s="214">
        <v>0</v>
      </c>
      <c r="AF130" s="214">
        <v>0</v>
      </c>
      <c r="AG130" s="214">
        <v>0</v>
      </c>
      <c r="AH130" s="214">
        <v>0</v>
      </c>
      <c r="AI130" s="214">
        <v>0</v>
      </c>
      <c r="AJ130" s="214">
        <v>0</v>
      </c>
      <c r="AK130" s="214">
        <v>0</v>
      </c>
      <c r="AL130" s="214">
        <v>0</v>
      </c>
    </row>
    <row r="131" spans="1:38" x14ac:dyDescent="0.25">
      <c r="A131" s="214" t="s">
        <v>667</v>
      </c>
      <c r="B131" s="214">
        <v>25</v>
      </c>
      <c r="C131" s="214">
        <v>0</v>
      </c>
      <c r="D131" s="214">
        <v>0</v>
      </c>
      <c r="E131" s="214">
        <v>0</v>
      </c>
      <c r="F131" s="214">
        <v>0</v>
      </c>
      <c r="G131" s="214">
        <v>0</v>
      </c>
      <c r="H131" s="214">
        <v>0</v>
      </c>
      <c r="I131" s="214">
        <v>0</v>
      </c>
      <c r="J131" s="214">
        <v>0</v>
      </c>
      <c r="K131" s="214">
        <v>0</v>
      </c>
      <c r="L131" s="214">
        <v>0</v>
      </c>
      <c r="M131" s="214">
        <v>0</v>
      </c>
      <c r="N131" s="214">
        <v>0</v>
      </c>
      <c r="O131" s="214">
        <v>0</v>
      </c>
      <c r="P131" s="214">
        <v>0</v>
      </c>
      <c r="Q131" s="214">
        <v>0</v>
      </c>
      <c r="R131" s="214">
        <v>0</v>
      </c>
      <c r="S131" s="214">
        <v>0</v>
      </c>
      <c r="T131" s="214">
        <v>0</v>
      </c>
      <c r="U131" s="214">
        <v>0</v>
      </c>
      <c r="V131" s="214">
        <v>0</v>
      </c>
      <c r="W131" s="214">
        <v>0</v>
      </c>
      <c r="X131" s="214">
        <v>31</v>
      </c>
      <c r="Y131" s="214">
        <v>31</v>
      </c>
      <c r="Z131" s="214">
        <v>31</v>
      </c>
      <c r="AA131" s="214">
        <v>0</v>
      </c>
      <c r="AB131" s="214">
        <v>0</v>
      </c>
      <c r="AC131" s="214">
        <v>0</v>
      </c>
      <c r="AD131" s="214">
        <v>0</v>
      </c>
      <c r="AE131" s="214">
        <v>0</v>
      </c>
      <c r="AF131" s="214">
        <v>0</v>
      </c>
      <c r="AG131" s="214">
        <v>0</v>
      </c>
      <c r="AH131" s="214">
        <v>0</v>
      </c>
      <c r="AI131" s="214">
        <v>0</v>
      </c>
      <c r="AJ131" s="214">
        <v>0</v>
      </c>
      <c r="AK131" s="214">
        <v>0</v>
      </c>
      <c r="AL131" s="214">
        <v>0</v>
      </c>
    </row>
    <row r="132" spans="1:38" x14ac:dyDescent="0.25">
      <c r="A132" s="214" t="s">
        <v>666</v>
      </c>
      <c r="B132" s="214">
        <v>0</v>
      </c>
      <c r="C132" s="214">
        <v>0</v>
      </c>
      <c r="D132" s="214">
        <v>0</v>
      </c>
      <c r="E132" s="214">
        <v>0</v>
      </c>
      <c r="F132" s="214">
        <v>0</v>
      </c>
      <c r="G132" s="214">
        <v>0</v>
      </c>
      <c r="H132" s="214">
        <v>0</v>
      </c>
      <c r="I132" s="214">
        <v>0</v>
      </c>
      <c r="J132" s="214">
        <v>0</v>
      </c>
      <c r="K132" s="214">
        <v>0</v>
      </c>
      <c r="L132" s="214">
        <v>0</v>
      </c>
      <c r="M132" s="214">
        <v>0</v>
      </c>
      <c r="N132" s="214">
        <v>0</v>
      </c>
      <c r="O132" s="214">
        <v>0</v>
      </c>
      <c r="P132" s="214">
        <v>0</v>
      </c>
      <c r="Q132" s="214">
        <v>0</v>
      </c>
      <c r="R132" s="214">
        <v>0</v>
      </c>
      <c r="S132" s="214">
        <v>0</v>
      </c>
      <c r="T132" s="214">
        <v>0</v>
      </c>
      <c r="U132" s="214">
        <v>0</v>
      </c>
      <c r="V132" s="214">
        <v>0</v>
      </c>
      <c r="W132" s="214">
        <v>0</v>
      </c>
      <c r="X132" s="214">
        <v>30</v>
      </c>
      <c r="Y132" s="214">
        <v>45</v>
      </c>
      <c r="Z132" s="214">
        <v>45</v>
      </c>
      <c r="AA132" s="214">
        <v>0</v>
      </c>
      <c r="AB132" s="214">
        <v>0</v>
      </c>
      <c r="AC132" s="214">
        <v>0</v>
      </c>
      <c r="AD132" s="214">
        <v>0</v>
      </c>
      <c r="AE132" s="214">
        <v>0</v>
      </c>
      <c r="AF132" s="214">
        <v>0</v>
      </c>
      <c r="AG132" s="214">
        <v>0</v>
      </c>
      <c r="AH132" s="214">
        <v>0</v>
      </c>
      <c r="AI132" s="214">
        <v>0</v>
      </c>
      <c r="AJ132" s="214">
        <v>0</v>
      </c>
      <c r="AK132" s="214">
        <v>0</v>
      </c>
      <c r="AL132" s="214">
        <v>0</v>
      </c>
    </row>
    <row r="133" spans="1:38" x14ac:dyDescent="0.25">
      <c r="A133" s="214" t="s">
        <v>289</v>
      </c>
      <c r="B133" s="214">
        <v>0</v>
      </c>
      <c r="C133" s="214">
        <v>0</v>
      </c>
      <c r="D133" s="214">
        <v>0</v>
      </c>
      <c r="E133" s="214">
        <v>47.5</v>
      </c>
      <c r="F133" s="214">
        <v>77.5</v>
      </c>
      <c r="G133" s="214">
        <v>83</v>
      </c>
      <c r="H133" s="214">
        <v>83</v>
      </c>
      <c r="I133" s="214">
        <v>62.5</v>
      </c>
      <c r="J133" s="214">
        <v>0</v>
      </c>
      <c r="K133" s="214">
        <v>0</v>
      </c>
      <c r="L133" s="214">
        <v>0</v>
      </c>
      <c r="M133" s="214">
        <v>0</v>
      </c>
      <c r="N133" s="214">
        <v>0</v>
      </c>
      <c r="O133" s="214">
        <v>0</v>
      </c>
      <c r="P133" s="214">
        <v>0</v>
      </c>
      <c r="Q133" s="214">
        <v>0</v>
      </c>
      <c r="R133" s="214">
        <v>0</v>
      </c>
      <c r="S133" s="214">
        <v>0</v>
      </c>
      <c r="T133" s="214">
        <v>0</v>
      </c>
      <c r="U133" s="214">
        <v>60</v>
      </c>
      <c r="V133" s="214">
        <v>62.5</v>
      </c>
      <c r="W133" s="214">
        <v>70</v>
      </c>
      <c r="X133" s="214">
        <v>0</v>
      </c>
      <c r="Y133" s="214">
        <v>32.5</v>
      </c>
      <c r="Z133" s="214">
        <v>43</v>
      </c>
      <c r="AA133" s="214">
        <v>70</v>
      </c>
      <c r="AB133" s="214">
        <v>62.5</v>
      </c>
      <c r="AC133" s="214">
        <v>0</v>
      </c>
      <c r="AD133" s="214">
        <v>0</v>
      </c>
      <c r="AE133" s="214">
        <v>0</v>
      </c>
      <c r="AF133" s="214">
        <v>0</v>
      </c>
      <c r="AG133" s="214">
        <v>0</v>
      </c>
      <c r="AH133" s="214">
        <v>0</v>
      </c>
      <c r="AI133" s="214">
        <v>0</v>
      </c>
      <c r="AJ133" s="214">
        <v>0</v>
      </c>
      <c r="AK133" s="214">
        <v>0</v>
      </c>
      <c r="AL133" s="214">
        <v>0</v>
      </c>
    </row>
    <row r="134" spans="1:38" x14ac:dyDescent="0.25">
      <c r="A134" s="214" t="s">
        <v>290</v>
      </c>
      <c r="B134" s="214">
        <v>0</v>
      </c>
      <c r="C134" s="214">
        <v>0</v>
      </c>
      <c r="D134" s="214">
        <v>37.5</v>
      </c>
      <c r="E134" s="214">
        <v>72.5</v>
      </c>
      <c r="F134" s="214">
        <v>82.5</v>
      </c>
      <c r="G134" s="214">
        <v>85</v>
      </c>
      <c r="H134" s="214">
        <v>92.5</v>
      </c>
      <c r="I134" s="214">
        <v>92.5</v>
      </c>
      <c r="J134" s="214">
        <v>77.099999999999994</v>
      </c>
      <c r="K134" s="214">
        <v>77.099999999999994</v>
      </c>
      <c r="L134" s="214">
        <v>72.5</v>
      </c>
      <c r="M134" s="214">
        <v>72.5</v>
      </c>
      <c r="N134" s="214">
        <v>50</v>
      </c>
      <c r="O134" s="214">
        <v>50</v>
      </c>
      <c r="P134" s="214">
        <v>45</v>
      </c>
      <c r="Q134" s="214">
        <v>40</v>
      </c>
      <c r="R134" s="214">
        <v>0</v>
      </c>
      <c r="S134" s="214">
        <v>0</v>
      </c>
      <c r="T134" s="214">
        <v>0</v>
      </c>
      <c r="U134" s="214">
        <v>65</v>
      </c>
      <c r="V134" s="214">
        <v>65</v>
      </c>
      <c r="W134" s="214">
        <v>75</v>
      </c>
      <c r="X134" s="214">
        <v>27.5</v>
      </c>
      <c r="Y134" s="214">
        <v>27.5</v>
      </c>
      <c r="Z134" s="214">
        <v>65</v>
      </c>
      <c r="AA134" s="214">
        <v>85</v>
      </c>
      <c r="AB134" s="214">
        <v>85</v>
      </c>
      <c r="AC134" s="214">
        <v>65</v>
      </c>
      <c r="AD134" s="214">
        <v>48</v>
      </c>
      <c r="AE134" s="214">
        <v>48</v>
      </c>
      <c r="AF134" s="214">
        <v>52.5</v>
      </c>
      <c r="AG134" s="214">
        <v>52.5</v>
      </c>
      <c r="AH134" s="214">
        <v>45</v>
      </c>
      <c r="AI134" s="214">
        <v>40</v>
      </c>
      <c r="AJ134" s="214">
        <v>0</v>
      </c>
      <c r="AK134" s="214">
        <v>0</v>
      </c>
      <c r="AL134" s="214">
        <v>0</v>
      </c>
    </row>
    <row r="135" spans="1:38" x14ac:dyDescent="0.25">
      <c r="A135" s="214" t="s">
        <v>291</v>
      </c>
      <c r="B135" s="214">
        <v>0</v>
      </c>
      <c r="C135" s="214">
        <v>0</v>
      </c>
      <c r="D135" s="214">
        <v>0</v>
      </c>
      <c r="E135" s="214">
        <v>102.5</v>
      </c>
      <c r="F135" s="214">
        <v>107.5</v>
      </c>
      <c r="G135" s="214">
        <v>107.5</v>
      </c>
      <c r="H135" s="214">
        <v>132.5</v>
      </c>
      <c r="I135" s="214">
        <v>132.5</v>
      </c>
      <c r="J135" s="214">
        <v>112.5</v>
      </c>
      <c r="K135" s="214">
        <v>92.5</v>
      </c>
      <c r="L135" s="214">
        <v>87.5</v>
      </c>
      <c r="M135" s="214">
        <v>87.5</v>
      </c>
      <c r="N135" s="214">
        <v>75</v>
      </c>
      <c r="O135" s="214">
        <v>67.5</v>
      </c>
      <c r="P135" s="214">
        <v>51</v>
      </c>
      <c r="Q135" s="214">
        <v>51</v>
      </c>
      <c r="R135" s="214">
        <v>0</v>
      </c>
      <c r="S135" s="214">
        <v>25</v>
      </c>
      <c r="T135" s="214">
        <v>22.7</v>
      </c>
      <c r="U135" s="214">
        <v>70</v>
      </c>
      <c r="V135" s="214">
        <v>85</v>
      </c>
      <c r="W135" s="214">
        <v>85</v>
      </c>
      <c r="X135" s="214">
        <v>20</v>
      </c>
      <c r="Y135" s="214">
        <v>45</v>
      </c>
      <c r="Z135" s="214">
        <v>47.5</v>
      </c>
      <c r="AA135" s="214">
        <v>100</v>
      </c>
      <c r="AB135" s="214">
        <v>100</v>
      </c>
      <c r="AC135" s="214">
        <v>97.5</v>
      </c>
      <c r="AD135" s="214">
        <v>80.5</v>
      </c>
      <c r="AE135" s="214">
        <v>80.5</v>
      </c>
      <c r="AF135" s="214">
        <v>65</v>
      </c>
      <c r="AG135" s="214">
        <v>65</v>
      </c>
      <c r="AH135" s="214">
        <v>52.5</v>
      </c>
      <c r="AI135" s="214">
        <v>52.5</v>
      </c>
      <c r="AJ135" s="214">
        <v>42.5</v>
      </c>
      <c r="AK135" s="214">
        <v>0</v>
      </c>
      <c r="AL135" s="214">
        <v>0</v>
      </c>
    </row>
    <row r="136" spans="1:38" x14ac:dyDescent="0.25">
      <c r="A136" s="214" t="s">
        <v>292</v>
      </c>
      <c r="B136" s="214">
        <v>0</v>
      </c>
      <c r="C136" s="214">
        <v>0</v>
      </c>
      <c r="D136" s="214">
        <v>0</v>
      </c>
      <c r="E136" s="214">
        <v>83</v>
      </c>
      <c r="F136" s="214">
        <v>110</v>
      </c>
      <c r="G136" s="214">
        <v>115</v>
      </c>
      <c r="H136" s="214">
        <v>137.5</v>
      </c>
      <c r="I136" s="214">
        <v>137.5</v>
      </c>
      <c r="J136" s="214">
        <v>130</v>
      </c>
      <c r="K136" s="214">
        <v>112.5</v>
      </c>
      <c r="L136" s="214">
        <v>112.5</v>
      </c>
      <c r="M136" s="214">
        <v>112.5</v>
      </c>
      <c r="N136" s="214">
        <v>60.5</v>
      </c>
      <c r="O136" s="214">
        <v>71.5</v>
      </c>
      <c r="P136" s="214">
        <v>71.5</v>
      </c>
      <c r="Q136" s="214">
        <v>71.5</v>
      </c>
      <c r="R136" s="214">
        <v>0</v>
      </c>
      <c r="S136" s="214">
        <v>0</v>
      </c>
      <c r="T136" s="214">
        <v>0</v>
      </c>
      <c r="U136" s="214">
        <v>75</v>
      </c>
      <c r="V136" s="214">
        <v>85</v>
      </c>
      <c r="W136" s="214">
        <v>95</v>
      </c>
      <c r="X136" s="214">
        <v>0</v>
      </c>
      <c r="Y136" s="214">
        <v>45</v>
      </c>
      <c r="Z136" s="214">
        <v>63</v>
      </c>
      <c r="AA136" s="214">
        <v>95</v>
      </c>
      <c r="AB136" s="214">
        <v>100</v>
      </c>
      <c r="AC136" s="214">
        <v>82.5</v>
      </c>
      <c r="AD136" s="214">
        <v>80</v>
      </c>
      <c r="AE136" s="214">
        <v>80</v>
      </c>
      <c r="AF136" s="214">
        <v>67.5</v>
      </c>
      <c r="AG136" s="214">
        <v>60</v>
      </c>
      <c r="AH136" s="214">
        <v>47.5</v>
      </c>
      <c r="AI136" s="214">
        <v>47.5</v>
      </c>
      <c r="AJ136" s="214">
        <v>40</v>
      </c>
      <c r="AK136" s="214">
        <v>0</v>
      </c>
      <c r="AL136" s="214">
        <v>0</v>
      </c>
    </row>
    <row r="137" spans="1:38" x14ac:dyDescent="0.25">
      <c r="A137" s="214" t="s">
        <v>293</v>
      </c>
      <c r="B137" s="214">
        <v>0</v>
      </c>
      <c r="C137" s="214">
        <v>25</v>
      </c>
      <c r="D137" s="214">
        <v>0</v>
      </c>
      <c r="E137" s="214">
        <v>92.5</v>
      </c>
      <c r="F137" s="214">
        <v>110</v>
      </c>
      <c r="G137" s="214">
        <v>117.5</v>
      </c>
      <c r="H137" s="214">
        <v>125</v>
      </c>
      <c r="I137" s="214">
        <v>150</v>
      </c>
      <c r="J137" s="214">
        <v>140.5</v>
      </c>
      <c r="K137" s="214">
        <v>130</v>
      </c>
      <c r="L137" s="214">
        <v>130</v>
      </c>
      <c r="M137" s="214">
        <v>102.5</v>
      </c>
      <c r="N137" s="214">
        <v>77.5</v>
      </c>
      <c r="O137" s="214">
        <v>72.5</v>
      </c>
      <c r="P137" s="214">
        <v>72.5</v>
      </c>
      <c r="Q137" s="214">
        <v>35</v>
      </c>
      <c r="R137" s="214">
        <v>0</v>
      </c>
      <c r="S137" s="214">
        <v>0</v>
      </c>
      <c r="T137" s="214">
        <v>0</v>
      </c>
      <c r="U137" s="214">
        <v>65</v>
      </c>
      <c r="V137" s="214">
        <v>82.5</v>
      </c>
      <c r="W137" s="214">
        <v>95</v>
      </c>
      <c r="X137" s="214">
        <v>0</v>
      </c>
      <c r="Y137" s="214">
        <v>32.5</v>
      </c>
      <c r="Z137" s="214">
        <v>58</v>
      </c>
      <c r="AA137" s="214">
        <v>100</v>
      </c>
      <c r="AB137" s="214">
        <v>144</v>
      </c>
      <c r="AC137" s="214">
        <v>144</v>
      </c>
      <c r="AD137" s="214">
        <v>144</v>
      </c>
      <c r="AE137" s="214">
        <v>80</v>
      </c>
      <c r="AF137" s="214">
        <v>75</v>
      </c>
      <c r="AG137" s="214">
        <v>73</v>
      </c>
      <c r="AH137" s="214">
        <v>62.5</v>
      </c>
      <c r="AI137" s="214">
        <v>62.5</v>
      </c>
      <c r="AJ137" s="214">
        <v>32.5</v>
      </c>
      <c r="AK137" s="214">
        <v>0</v>
      </c>
      <c r="AL137" s="214">
        <v>0</v>
      </c>
    </row>
    <row r="138" spans="1:38" x14ac:dyDescent="0.25">
      <c r="A138" s="214" t="s">
        <v>294</v>
      </c>
      <c r="B138" s="214">
        <v>0</v>
      </c>
      <c r="C138" s="214">
        <v>0</v>
      </c>
      <c r="D138" s="214">
        <v>0</v>
      </c>
      <c r="E138" s="214">
        <v>90</v>
      </c>
      <c r="F138" s="214">
        <v>120</v>
      </c>
      <c r="G138" s="214">
        <v>132.5</v>
      </c>
      <c r="H138" s="214">
        <v>140</v>
      </c>
      <c r="I138" s="214">
        <v>170</v>
      </c>
      <c r="J138" s="214">
        <v>165</v>
      </c>
      <c r="K138" s="214">
        <v>165</v>
      </c>
      <c r="L138" s="214">
        <v>115</v>
      </c>
      <c r="M138" s="214">
        <v>105</v>
      </c>
      <c r="N138" s="214">
        <v>92.5</v>
      </c>
      <c r="O138" s="214">
        <v>92.5</v>
      </c>
      <c r="P138" s="214">
        <v>90</v>
      </c>
      <c r="Q138" s="214">
        <v>50</v>
      </c>
      <c r="R138" s="214">
        <v>0</v>
      </c>
      <c r="S138" s="214">
        <v>0</v>
      </c>
      <c r="T138" s="214">
        <v>0</v>
      </c>
      <c r="U138" s="214">
        <v>67</v>
      </c>
      <c r="V138" s="214">
        <v>107.5</v>
      </c>
      <c r="W138" s="214">
        <v>115</v>
      </c>
      <c r="X138" s="214">
        <v>0</v>
      </c>
      <c r="Y138" s="214">
        <v>32.5</v>
      </c>
      <c r="Z138" s="214">
        <v>58</v>
      </c>
      <c r="AA138" s="214">
        <v>115</v>
      </c>
      <c r="AB138" s="214">
        <v>144</v>
      </c>
      <c r="AC138" s="214">
        <v>144</v>
      </c>
      <c r="AD138" s="214">
        <v>115</v>
      </c>
      <c r="AE138" s="214">
        <v>105</v>
      </c>
      <c r="AF138" s="214">
        <v>80.5</v>
      </c>
      <c r="AG138" s="214">
        <v>80.5</v>
      </c>
      <c r="AH138" s="214">
        <v>70</v>
      </c>
      <c r="AI138" s="214">
        <v>67.5</v>
      </c>
      <c r="AJ138" s="214">
        <v>42.5</v>
      </c>
      <c r="AK138" s="214">
        <v>30</v>
      </c>
      <c r="AL138" s="214">
        <v>30</v>
      </c>
    </row>
    <row r="139" spans="1:38" x14ac:dyDescent="0.25">
      <c r="A139" s="214" t="s">
        <v>295</v>
      </c>
      <c r="B139" s="214">
        <v>0</v>
      </c>
      <c r="C139" s="214">
        <v>27.5</v>
      </c>
      <c r="D139" s="214">
        <v>35</v>
      </c>
      <c r="E139" s="214">
        <v>122.5</v>
      </c>
      <c r="F139" s="214">
        <v>140</v>
      </c>
      <c r="G139" s="214">
        <v>155</v>
      </c>
      <c r="H139" s="214">
        <v>166</v>
      </c>
      <c r="I139" s="214">
        <v>192.5</v>
      </c>
      <c r="J139" s="214">
        <v>192.5</v>
      </c>
      <c r="K139" s="214">
        <v>192.5</v>
      </c>
      <c r="L139" s="214">
        <v>130.5</v>
      </c>
      <c r="M139" s="214">
        <v>97.5</v>
      </c>
      <c r="N139" s="214">
        <v>87.5</v>
      </c>
      <c r="O139" s="214">
        <v>65</v>
      </c>
      <c r="P139" s="214">
        <v>75</v>
      </c>
      <c r="Q139" s="214">
        <v>75</v>
      </c>
      <c r="R139" s="214">
        <v>0</v>
      </c>
      <c r="S139" s="214">
        <v>0</v>
      </c>
      <c r="T139" s="214">
        <v>0</v>
      </c>
      <c r="U139" s="214">
        <v>77.5</v>
      </c>
      <c r="V139" s="214">
        <v>105</v>
      </c>
      <c r="W139" s="214">
        <v>127.5</v>
      </c>
      <c r="X139" s="214">
        <v>0</v>
      </c>
      <c r="Y139" s="214">
        <v>42.5</v>
      </c>
      <c r="Z139" s="214">
        <v>52.5</v>
      </c>
      <c r="AA139" s="214">
        <v>127.5</v>
      </c>
      <c r="AB139" s="214">
        <v>127.5</v>
      </c>
      <c r="AC139" s="214">
        <v>125</v>
      </c>
      <c r="AD139" s="214">
        <v>125</v>
      </c>
      <c r="AE139" s="214">
        <v>100</v>
      </c>
      <c r="AF139" s="214">
        <v>92.5</v>
      </c>
      <c r="AG139" s="214">
        <v>75</v>
      </c>
      <c r="AH139" s="214">
        <v>75</v>
      </c>
      <c r="AI139" s="214">
        <v>75</v>
      </c>
      <c r="AJ139" s="214">
        <v>75</v>
      </c>
      <c r="AK139" s="214">
        <v>25</v>
      </c>
      <c r="AL139" s="214">
        <v>0</v>
      </c>
    </row>
    <row r="140" spans="1:38" x14ac:dyDescent="0.25">
      <c r="A140" s="214" t="s">
        <v>296</v>
      </c>
      <c r="B140" s="214">
        <v>0</v>
      </c>
      <c r="C140" s="214">
        <v>0</v>
      </c>
      <c r="D140" s="214">
        <v>0</v>
      </c>
      <c r="E140" s="214">
        <v>112.5</v>
      </c>
      <c r="F140" s="214">
        <v>168</v>
      </c>
      <c r="G140" s="214">
        <v>178</v>
      </c>
      <c r="H140" s="214">
        <v>190</v>
      </c>
      <c r="I140" s="214">
        <v>210</v>
      </c>
      <c r="J140" s="214">
        <v>190.5</v>
      </c>
      <c r="K140" s="214">
        <v>182.5</v>
      </c>
      <c r="L140" s="214">
        <v>172.5</v>
      </c>
      <c r="M140" s="214">
        <v>160</v>
      </c>
      <c r="N140" s="214">
        <v>122.5</v>
      </c>
      <c r="O140" s="214">
        <v>85</v>
      </c>
      <c r="P140" s="214">
        <v>80</v>
      </c>
      <c r="Q140" s="214">
        <v>0</v>
      </c>
      <c r="R140" s="214">
        <v>0</v>
      </c>
      <c r="S140" s="214">
        <v>0</v>
      </c>
      <c r="T140" s="214">
        <v>0</v>
      </c>
      <c r="U140" s="214">
        <v>95</v>
      </c>
      <c r="V140" s="214">
        <v>120</v>
      </c>
      <c r="W140" s="214">
        <v>120</v>
      </c>
      <c r="X140" s="214">
        <v>0</v>
      </c>
      <c r="Y140" s="214">
        <v>42.5</v>
      </c>
      <c r="Z140" s="214">
        <v>50</v>
      </c>
      <c r="AA140" s="214">
        <v>120</v>
      </c>
      <c r="AB140" s="214">
        <v>151.5</v>
      </c>
      <c r="AC140" s="214">
        <v>122.5</v>
      </c>
      <c r="AD140" s="214">
        <v>120</v>
      </c>
      <c r="AE140" s="214">
        <v>120</v>
      </c>
      <c r="AF140" s="214">
        <v>93</v>
      </c>
      <c r="AG140" s="214">
        <v>85</v>
      </c>
      <c r="AH140" s="214">
        <v>80</v>
      </c>
      <c r="AI140" s="214">
        <v>80</v>
      </c>
      <c r="AJ140" s="214">
        <v>71.5</v>
      </c>
      <c r="AK140" s="214">
        <v>40</v>
      </c>
      <c r="AL140" s="214">
        <v>0</v>
      </c>
    </row>
    <row r="141" spans="1:38" x14ac:dyDescent="0.25">
      <c r="A141" s="214" t="s">
        <v>665</v>
      </c>
      <c r="B141" s="214">
        <v>0</v>
      </c>
      <c r="C141" s="214">
        <v>0</v>
      </c>
      <c r="D141" s="214">
        <v>0</v>
      </c>
      <c r="E141" s="214">
        <v>0</v>
      </c>
      <c r="F141" s="214">
        <v>0</v>
      </c>
      <c r="G141" s="214">
        <v>0</v>
      </c>
      <c r="H141" s="214">
        <v>0</v>
      </c>
      <c r="I141" s="214">
        <v>0</v>
      </c>
      <c r="J141" s="214">
        <v>0</v>
      </c>
      <c r="K141" s="214">
        <v>0</v>
      </c>
      <c r="L141" s="214">
        <v>0</v>
      </c>
      <c r="M141" s="214">
        <v>0</v>
      </c>
      <c r="N141" s="214">
        <v>0</v>
      </c>
      <c r="O141" s="214">
        <v>0</v>
      </c>
      <c r="P141" s="214">
        <v>0</v>
      </c>
      <c r="Q141" s="214">
        <v>0</v>
      </c>
      <c r="R141" s="214">
        <v>0</v>
      </c>
      <c r="S141" s="214">
        <v>0</v>
      </c>
      <c r="T141" s="214">
        <v>0</v>
      </c>
      <c r="U141" s="214">
        <v>0</v>
      </c>
      <c r="V141" s="214">
        <v>0</v>
      </c>
      <c r="W141" s="214">
        <v>0</v>
      </c>
      <c r="X141" s="214">
        <v>60</v>
      </c>
      <c r="Y141" s="214">
        <v>65</v>
      </c>
      <c r="Z141" s="214">
        <v>65</v>
      </c>
      <c r="AA141" s="214">
        <v>0</v>
      </c>
      <c r="AB141" s="214">
        <v>0</v>
      </c>
      <c r="AC141" s="214">
        <v>0</v>
      </c>
      <c r="AD141" s="214">
        <v>0</v>
      </c>
      <c r="AE141" s="214">
        <v>0</v>
      </c>
      <c r="AF141" s="214">
        <v>0</v>
      </c>
      <c r="AG141" s="214">
        <v>0</v>
      </c>
      <c r="AH141" s="214">
        <v>0</v>
      </c>
      <c r="AI141" s="214">
        <v>0</v>
      </c>
      <c r="AJ141" s="214">
        <v>0</v>
      </c>
      <c r="AK141" s="214">
        <v>0</v>
      </c>
      <c r="AL141" s="214">
        <v>0</v>
      </c>
    </row>
    <row r="142" spans="1:38" x14ac:dyDescent="0.25">
      <c r="A142" s="214" t="s">
        <v>664</v>
      </c>
      <c r="B142" s="214">
        <v>57.5</v>
      </c>
      <c r="C142" s="214">
        <v>0</v>
      </c>
      <c r="D142" s="214">
        <v>0</v>
      </c>
      <c r="E142" s="214">
        <v>0</v>
      </c>
      <c r="F142" s="214">
        <v>0</v>
      </c>
      <c r="G142" s="214">
        <v>0</v>
      </c>
      <c r="H142" s="214">
        <v>0</v>
      </c>
      <c r="I142" s="214">
        <v>0</v>
      </c>
      <c r="J142" s="214">
        <v>0</v>
      </c>
      <c r="K142" s="214">
        <v>0</v>
      </c>
      <c r="L142" s="214">
        <v>0</v>
      </c>
      <c r="M142" s="214">
        <v>0</v>
      </c>
      <c r="N142" s="214">
        <v>0</v>
      </c>
      <c r="O142" s="214">
        <v>0</v>
      </c>
      <c r="P142" s="214">
        <v>0</v>
      </c>
      <c r="Q142" s="214">
        <v>0</v>
      </c>
      <c r="R142" s="214">
        <v>0</v>
      </c>
      <c r="S142" s="214">
        <v>0</v>
      </c>
      <c r="T142" s="214">
        <v>0</v>
      </c>
      <c r="U142" s="214">
        <v>0</v>
      </c>
      <c r="V142" s="214">
        <v>0</v>
      </c>
      <c r="W142" s="214">
        <v>0</v>
      </c>
      <c r="X142" s="214">
        <v>76</v>
      </c>
      <c r="Y142" s="214">
        <v>76</v>
      </c>
      <c r="Z142" s="214">
        <v>76</v>
      </c>
      <c r="AA142" s="214">
        <v>0</v>
      </c>
      <c r="AB142" s="214">
        <v>0</v>
      </c>
      <c r="AC142" s="214">
        <v>0</v>
      </c>
      <c r="AD142" s="214">
        <v>0</v>
      </c>
      <c r="AE142" s="214">
        <v>0</v>
      </c>
      <c r="AF142" s="214">
        <v>0</v>
      </c>
      <c r="AG142" s="214">
        <v>0</v>
      </c>
      <c r="AH142" s="214">
        <v>0</v>
      </c>
      <c r="AI142" s="214">
        <v>0</v>
      </c>
      <c r="AJ142" s="214">
        <v>0</v>
      </c>
      <c r="AK142" s="214">
        <v>0</v>
      </c>
      <c r="AL142" s="214">
        <v>0</v>
      </c>
    </row>
    <row r="143" spans="1:38" x14ac:dyDescent="0.25">
      <c r="A143" s="214" t="s">
        <v>663</v>
      </c>
      <c r="B143" s="214">
        <v>0</v>
      </c>
      <c r="C143" s="214">
        <v>0</v>
      </c>
      <c r="D143" s="214">
        <v>0</v>
      </c>
      <c r="E143" s="214">
        <v>0</v>
      </c>
      <c r="F143" s="214">
        <v>0</v>
      </c>
      <c r="G143" s="214">
        <v>0</v>
      </c>
      <c r="H143" s="214">
        <v>0</v>
      </c>
      <c r="I143" s="214">
        <v>0</v>
      </c>
      <c r="J143" s="214">
        <v>0</v>
      </c>
      <c r="K143" s="214">
        <v>0</v>
      </c>
      <c r="L143" s="214">
        <v>0</v>
      </c>
      <c r="M143" s="214">
        <v>0</v>
      </c>
      <c r="N143" s="214">
        <v>0</v>
      </c>
      <c r="O143" s="214">
        <v>0</v>
      </c>
      <c r="P143" s="214">
        <v>0</v>
      </c>
      <c r="Q143" s="214">
        <v>0</v>
      </c>
      <c r="R143" s="214">
        <v>0</v>
      </c>
      <c r="S143" s="214">
        <v>0</v>
      </c>
      <c r="T143" s="214">
        <v>0</v>
      </c>
      <c r="U143" s="214">
        <v>0</v>
      </c>
      <c r="V143" s="214">
        <v>0</v>
      </c>
      <c r="W143" s="214">
        <v>0</v>
      </c>
      <c r="X143" s="214">
        <v>72.5</v>
      </c>
      <c r="Y143" s="214">
        <v>87.5</v>
      </c>
      <c r="Z143" s="214">
        <v>90.7</v>
      </c>
      <c r="AA143" s="214">
        <v>0</v>
      </c>
      <c r="AB143" s="214">
        <v>0</v>
      </c>
      <c r="AC143" s="214">
        <v>0</v>
      </c>
      <c r="AD143" s="214">
        <v>0</v>
      </c>
      <c r="AE143" s="214">
        <v>0</v>
      </c>
      <c r="AF143" s="214">
        <v>0</v>
      </c>
      <c r="AG143" s="214">
        <v>0</v>
      </c>
      <c r="AH143" s="214">
        <v>0</v>
      </c>
      <c r="AI143" s="214">
        <v>0</v>
      </c>
      <c r="AJ143" s="214">
        <v>0</v>
      </c>
      <c r="AK143" s="214">
        <v>0</v>
      </c>
      <c r="AL143" s="214">
        <v>0</v>
      </c>
    </row>
    <row r="144" spans="1:38" x14ac:dyDescent="0.25">
      <c r="A144" s="214" t="s">
        <v>297</v>
      </c>
      <c r="B144" s="214">
        <v>0</v>
      </c>
      <c r="C144" s="214">
        <v>0</v>
      </c>
      <c r="D144" s="214">
        <v>0</v>
      </c>
      <c r="E144" s="214">
        <v>92.5</v>
      </c>
      <c r="F144" s="214">
        <v>142.5</v>
      </c>
      <c r="G144" s="214">
        <v>142.5</v>
      </c>
      <c r="H144" s="214">
        <v>142.5</v>
      </c>
      <c r="I144" s="214">
        <v>142.5</v>
      </c>
      <c r="J144" s="214">
        <v>0</v>
      </c>
      <c r="K144" s="214">
        <v>0</v>
      </c>
      <c r="L144" s="214">
        <v>0</v>
      </c>
      <c r="M144" s="214">
        <v>0</v>
      </c>
      <c r="N144" s="214">
        <v>0</v>
      </c>
      <c r="O144" s="214">
        <v>0</v>
      </c>
      <c r="P144" s="214">
        <v>0</v>
      </c>
      <c r="Q144" s="214">
        <v>0</v>
      </c>
      <c r="R144" s="214">
        <v>0</v>
      </c>
      <c r="S144" s="214">
        <v>0</v>
      </c>
      <c r="T144" s="214">
        <v>0</v>
      </c>
      <c r="U144" s="214">
        <v>105</v>
      </c>
      <c r="V144" s="214">
        <v>125</v>
      </c>
      <c r="W144" s="214">
        <v>125</v>
      </c>
      <c r="X144" s="214">
        <v>0</v>
      </c>
      <c r="Y144" s="214">
        <v>75</v>
      </c>
      <c r="Z144" s="214">
        <v>92.5</v>
      </c>
      <c r="AA144" s="214">
        <v>125</v>
      </c>
      <c r="AB144" s="214">
        <v>125</v>
      </c>
      <c r="AC144" s="214">
        <v>0</v>
      </c>
      <c r="AD144" s="214">
        <v>0</v>
      </c>
      <c r="AE144" s="214">
        <v>0</v>
      </c>
      <c r="AF144" s="214">
        <v>0</v>
      </c>
      <c r="AG144" s="214">
        <v>0</v>
      </c>
      <c r="AH144" s="214">
        <v>0</v>
      </c>
      <c r="AI144" s="214">
        <v>0</v>
      </c>
      <c r="AJ144" s="214">
        <v>0</v>
      </c>
      <c r="AK144" s="214">
        <v>0</v>
      </c>
      <c r="AL144" s="214">
        <v>0</v>
      </c>
    </row>
    <row r="145" spans="1:38" x14ac:dyDescent="0.25">
      <c r="A145" s="214" t="s">
        <v>298</v>
      </c>
      <c r="B145" s="214">
        <v>0</v>
      </c>
      <c r="C145" s="214">
        <v>0</v>
      </c>
      <c r="D145" s="214">
        <v>77.5</v>
      </c>
      <c r="E145" s="214">
        <v>147.5</v>
      </c>
      <c r="F145" s="214">
        <v>147.5</v>
      </c>
      <c r="G145" s="214">
        <v>160</v>
      </c>
      <c r="H145" s="214">
        <v>162.5</v>
      </c>
      <c r="I145" s="214">
        <v>162.5</v>
      </c>
      <c r="J145" s="214">
        <v>152.5</v>
      </c>
      <c r="K145" s="214">
        <v>152.5</v>
      </c>
      <c r="L145" s="214">
        <v>145</v>
      </c>
      <c r="M145" s="214">
        <v>142.5</v>
      </c>
      <c r="N145" s="214">
        <v>127.5</v>
      </c>
      <c r="O145" s="214">
        <v>127.5</v>
      </c>
      <c r="P145" s="214">
        <v>127.5</v>
      </c>
      <c r="Q145" s="214">
        <v>0</v>
      </c>
      <c r="R145" s="214">
        <v>0</v>
      </c>
      <c r="S145" s="214">
        <v>0</v>
      </c>
      <c r="T145" s="214">
        <v>0</v>
      </c>
      <c r="U145" s="214">
        <v>125</v>
      </c>
      <c r="V145" s="214">
        <v>125</v>
      </c>
      <c r="W145" s="214">
        <v>132.5</v>
      </c>
      <c r="X145" s="214">
        <v>72.5</v>
      </c>
      <c r="Y145" s="214">
        <v>72.5</v>
      </c>
      <c r="Z145" s="214">
        <v>122.5</v>
      </c>
      <c r="AA145" s="214">
        <v>151</v>
      </c>
      <c r="AB145" s="214">
        <v>182.5</v>
      </c>
      <c r="AC145" s="214">
        <v>147.5</v>
      </c>
      <c r="AD145" s="214">
        <v>120</v>
      </c>
      <c r="AE145" s="214">
        <v>120</v>
      </c>
      <c r="AF145" s="214">
        <v>120</v>
      </c>
      <c r="AG145" s="214">
        <v>120</v>
      </c>
      <c r="AH145" s="214">
        <v>120</v>
      </c>
      <c r="AI145" s="214">
        <v>120</v>
      </c>
      <c r="AJ145" s="214">
        <v>0</v>
      </c>
      <c r="AK145" s="214">
        <v>0</v>
      </c>
      <c r="AL145" s="214">
        <v>0</v>
      </c>
    </row>
    <row r="146" spans="1:38" x14ac:dyDescent="0.25">
      <c r="A146" s="214" t="s">
        <v>299</v>
      </c>
      <c r="B146" s="214">
        <v>0</v>
      </c>
      <c r="C146" s="214">
        <v>0</v>
      </c>
      <c r="D146" s="214">
        <v>0</v>
      </c>
      <c r="E146" s="214">
        <v>170</v>
      </c>
      <c r="F146" s="214">
        <v>183</v>
      </c>
      <c r="G146" s="214">
        <v>180</v>
      </c>
      <c r="H146" s="214">
        <v>182.5</v>
      </c>
      <c r="I146" s="214">
        <v>192.5</v>
      </c>
      <c r="J146" s="214">
        <v>170</v>
      </c>
      <c r="K146" s="214">
        <v>170</v>
      </c>
      <c r="L146" s="214">
        <v>157.5</v>
      </c>
      <c r="M146" s="214">
        <v>145</v>
      </c>
      <c r="N146" s="214">
        <v>123.5</v>
      </c>
      <c r="O146" s="214">
        <v>102.5</v>
      </c>
      <c r="P146" s="214">
        <v>88</v>
      </c>
      <c r="Q146" s="214">
        <v>88</v>
      </c>
      <c r="R146" s="214">
        <v>0</v>
      </c>
      <c r="S146" s="214">
        <v>0</v>
      </c>
      <c r="T146" s="214">
        <v>61.2</v>
      </c>
      <c r="U146" s="214">
        <v>132.5</v>
      </c>
      <c r="V146" s="214">
        <v>132.5</v>
      </c>
      <c r="W146" s="214">
        <v>147.4</v>
      </c>
      <c r="X146" s="214">
        <v>35</v>
      </c>
      <c r="Y146" s="214">
        <v>110.5</v>
      </c>
      <c r="Z146" s="214">
        <v>102.5</v>
      </c>
      <c r="AA146" s="214">
        <v>166.5</v>
      </c>
      <c r="AB146" s="214">
        <v>187.5</v>
      </c>
      <c r="AC146" s="214">
        <v>187.5</v>
      </c>
      <c r="AD146" s="214">
        <v>162.5</v>
      </c>
      <c r="AE146" s="214">
        <v>158</v>
      </c>
      <c r="AF146" s="214">
        <v>132.5</v>
      </c>
      <c r="AG146" s="214">
        <v>132.5</v>
      </c>
      <c r="AH146" s="214">
        <v>115.5</v>
      </c>
      <c r="AI146" s="214">
        <v>115.5</v>
      </c>
      <c r="AJ146" s="214">
        <v>80</v>
      </c>
      <c r="AK146" s="214">
        <v>65</v>
      </c>
      <c r="AL146" s="214">
        <v>0</v>
      </c>
    </row>
    <row r="147" spans="1:38" x14ac:dyDescent="0.25">
      <c r="A147" s="214" t="s">
        <v>300</v>
      </c>
      <c r="B147" s="214">
        <v>0</v>
      </c>
      <c r="C147" s="214">
        <v>0</v>
      </c>
      <c r="D147" s="214">
        <v>0</v>
      </c>
      <c r="E147" s="214">
        <v>175</v>
      </c>
      <c r="F147" s="214">
        <v>183.7</v>
      </c>
      <c r="G147" s="214">
        <v>192.5</v>
      </c>
      <c r="H147" s="214">
        <v>192.5</v>
      </c>
      <c r="I147" s="214">
        <v>197.5</v>
      </c>
      <c r="J147" s="214">
        <v>182.5</v>
      </c>
      <c r="K147" s="214">
        <v>177.5</v>
      </c>
      <c r="L147" s="214">
        <v>177.5</v>
      </c>
      <c r="M147" s="214">
        <v>147.5</v>
      </c>
      <c r="N147" s="214">
        <v>132.5</v>
      </c>
      <c r="O147" s="214">
        <v>95</v>
      </c>
      <c r="P147" s="214">
        <v>92.5</v>
      </c>
      <c r="Q147" s="214">
        <v>90</v>
      </c>
      <c r="R147" s="214">
        <v>0</v>
      </c>
      <c r="S147" s="214">
        <v>0</v>
      </c>
      <c r="T147" s="214">
        <v>0</v>
      </c>
      <c r="U147" s="214">
        <v>137.5</v>
      </c>
      <c r="V147" s="214">
        <v>167.5</v>
      </c>
      <c r="W147" s="214">
        <v>170</v>
      </c>
      <c r="X147" s="214">
        <v>0</v>
      </c>
      <c r="Y147" s="214">
        <v>92.5</v>
      </c>
      <c r="Z147" s="214">
        <v>113</v>
      </c>
      <c r="AA147" s="214">
        <v>185</v>
      </c>
      <c r="AB147" s="214">
        <v>193</v>
      </c>
      <c r="AC147" s="214">
        <v>162.5</v>
      </c>
      <c r="AD147" s="214">
        <v>162.5</v>
      </c>
      <c r="AE147" s="214">
        <v>151</v>
      </c>
      <c r="AF147" s="214">
        <v>125</v>
      </c>
      <c r="AG147" s="214">
        <v>120</v>
      </c>
      <c r="AH147" s="214">
        <v>115</v>
      </c>
      <c r="AI147" s="214">
        <v>97.5</v>
      </c>
      <c r="AJ147" s="214">
        <v>77.5</v>
      </c>
      <c r="AK147" s="214">
        <v>0</v>
      </c>
      <c r="AL147" s="214">
        <v>0</v>
      </c>
    </row>
    <row r="148" spans="1:38" x14ac:dyDescent="0.25">
      <c r="A148" s="214" t="s">
        <v>301</v>
      </c>
      <c r="B148" s="214">
        <v>0</v>
      </c>
      <c r="C148" s="214">
        <v>52.5</v>
      </c>
      <c r="D148" s="214">
        <v>0</v>
      </c>
      <c r="E148" s="214">
        <v>181.4</v>
      </c>
      <c r="F148" s="214">
        <v>205</v>
      </c>
      <c r="G148" s="214">
        <v>215</v>
      </c>
      <c r="H148" s="214">
        <v>215</v>
      </c>
      <c r="I148" s="214">
        <v>227.5</v>
      </c>
      <c r="J148" s="214">
        <v>197.5</v>
      </c>
      <c r="K148" s="214">
        <v>190</v>
      </c>
      <c r="L148" s="214">
        <v>183</v>
      </c>
      <c r="M148" s="214">
        <v>180</v>
      </c>
      <c r="N148" s="214">
        <v>137.5</v>
      </c>
      <c r="O148" s="214">
        <v>130</v>
      </c>
      <c r="P148" s="214">
        <v>130</v>
      </c>
      <c r="Q148" s="214">
        <v>80</v>
      </c>
      <c r="R148" s="214">
        <v>0</v>
      </c>
      <c r="S148" s="214">
        <v>0</v>
      </c>
      <c r="T148" s="214">
        <v>0</v>
      </c>
      <c r="U148" s="214">
        <v>164.5</v>
      </c>
      <c r="V148" s="214">
        <v>166</v>
      </c>
      <c r="W148" s="214">
        <v>195</v>
      </c>
      <c r="X148" s="214">
        <v>0</v>
      </c>
      <c r="Y148" s="214">
        <v>95.5</v>
      </c>
      <c r="Z148" s="214">
        <v>140</v>
      </c>
      <c r="AA148" s="214">
        <v>197.5</v>
      </c>
      <c r="AB148" s="214">
        <v>221</v>
      </c>
      <c r="AC148" s="214">
        <v>202.5</v>
      </c>
      <c r="AD148" s="214">
        <v>202.5</v>
      </c>
      <c r="AE148" s="214">
        <v>175.5</v>
      </c>
      <c r="AF148" s="214">
        <v>160</v>
      </c>
      <c r="AG148" s="214">
        <v>135.5</v>
      </c>
      <c r="AH148" s="214">
        <v>125</v>
      </c>
      <c r="AI148" s="214">
        <v>125</v>
      </c>
      <c r="AJ148" s="214">
        <v>60</v>
      </c>
      <c r="AK148" s="214">
        <v>0</v>
      </c>
      <c r="AL148" s="214">
        <v>0</v>
      </c>
    </row>
    <row r="149" spans="1:38" x14ac:dyDescent="0.25">
      <c r="A149" s="214" t="s">
        <v>302</v>
      </c>
      <c r="B149" s="214">
        <v>0</v>
      </c>
      <c r="C149" s="214">
        <v>0</v>
      </c>
      <c r="D149" s="214">
        <v>0</v>
      </c>
      <c r="E149" s="214">
        <v>170</v>
      </c>
      <c r="F149" s="214">
        <v>220</v>
      </c>
      <c r="G149" s="214">
        <v>220</v>
      </c>
      <c r="H149" s="214">
        <v>220</v>
      </c>
      <c r="I149" s="214">
        <v>257.5</v>
      </c>
      <c r="J149" s="214">
        <v>249</v>
      </c>
      <c r="K149" s="214">
        <v>249</v>
      </c>
      <c r="L149" s="214">
        <v>180</v>
      </c>
      <c r="M149" s="214">
        <v>180</v>
      </c>
      <c r="N149" s="214">
        <v>157.5</v>
      </c>
      <c r="O149" s="214">
        <v>157.5</v>
      </c>
      <c r="P149" s="214">
        <v>150</v>
      </c>
      <c r="Q149" s="214">
        <v>61.2</v>
      </c>
      <c r="R149" s="214">
        <v>0</v>
      </c>
      <c r="S149" s="214">
        <v>0</v>
      </c>
      <c r="T149" s="214">
        <v>0</v>
      </c>
      <c r="U149" s="214">
        <v>147.5</v>
      </c>
      <c r="V149" s="214">
        <v>200.5</v>
      </c>
      <c r="W149" s="214">
        <v>205</v>
      </c>
      <c r="X149" s="214">
        <v>0</v>
      </c>
      <c r="Y149" s="214">
        <v>107.5</v>
      </c>
      <c r="Z149" s="214">
        <v>132.5</v>
      </c>
      <c r="AA149" s="214">
        <v>205</v>
      </c>
      <c r="AB149" s="214">
        <v>246</v>
      </c>
      <c r="AC149" s="214">
        <v>205</v>
      </c>
      <c r="AD149" s="214">
        <v>195</v>
      </c>
      <c r="AE149" s="214">
        <v>195</v>
      </c>
      <c r="AF149" s="214">
        <v>195</v>
      </c>
      <c r="AG149" s="214">
        <v>150.5</v>
      </c>
      <c r="AH149" s="214">
        <v>130</v>
      </c>
      <c r="AI149" s="214">
        <v>125</v>
      </c>
      <c r="AJ149" s="214">
        <v>92.5</v>
      </c>
      <c r="AK149" s="214">
        <v>42.5</v>
      </c>
      <c r="AL149" s="214">
        <v>42.5</v>
      </c>
    </row>
    <row r="150" spans="1:38" x14ac:dyDescent="0.25">
      <c r="A150" s="214" t="s">
        <v>303</v>
      </c>
      <c r="B150" s="214">
        <v>0</v>
      </c>
      <c r="C150" s="214">
        <v>55</v>
      </c>
      <c r="D150" s="214">
        <v>87.5</v>
      </c>
      <c r="E150" s="214">
        <v>200</v>
      </c>
      <c r="F150" s="214">
        <v>204.1</v>
      </c>
      <c r="G150" s="214">
        <v>225</v>
      </c>
      <c r="H150" s="214">
        <v>235</v>
      </c>
      <c r="I150" s="214">
        <v>252.5</v>
      </c>
      <c r="J150" s="214">
        <v>228</v>
      </c>
      <c r="K150" s="214">
        <v>228</v>
      </c>
      <c r="L150" s="214">
        <v>210</v>
      </c>
      <c r="M150" s="214">
        <v>152.5</v>
      </c>
      <c r="N150" s="214">
        <v>115</v>
      </c>
      <c r="O150" s="214">
        <v>115</v>
      </c>
      <c r="P150" s="214">
        <v>135</v>
      </c>
      <c r="Q150" s="214">
        <v>122.5</v>
      </c>
      <c r="R150" s="214">
        <v>0</v>
      </c>
      <c r="S150" s="214">
        <v>0</v>
      </c>
      <c r="T150" s="214">
        <v>0</v>
      </c>
      <c r="U150" s="214">
        <v>181.4</v>
      </c>
      <c r="V150" s="214">
        <v>205</v>
      </c>
      <c r="W150" s="214">
        <v>227.5</v>
      </c>
      <c r="X150" s="214">
        <v>0</v>
      </c>
      <c r="Y150" s="214">
        <v>93</v>
      </c>
      <c r="Z150" s="214">
        <v>137.5</v>
      </c>
      <c r="AA150" s="214">
        <v>227.5</v>
      </c>
      <c r="AB150" s="214">
        <v>235</v>
      </c>
      <c r="AC150" s="214">
        <v>227.5</v>
      </c>
      <c r="AD150" s="214">
        <v>227.5</v>
      </c>
      <c r="AE150" s="214">
        <v>170</v>
      </c>
      <c r="AF150" s="214">
        <v>152.5</v>
      </c>
      <c r="AG150" s="214">
        <v>152.5</v>
      </c>
      <c r="AH150" s="214">
        <v>132.5</v>
      </c>
      <c r="AI150" s="214">
        <v>115</v>
      </c>
      <c r="AJ150" s="214">
        <v>125</v>
      </c>
      <c r="AK150" s="214">
        <v>60</v>
      </c>
      <c r="AL150" s="214">
        <v>0</v>
      </c>
    </row>
    <row r="151" spans="1:38" x14ac:dyDescent="0.25">
      <c r="A151" s="214" t="s">
        <v>304</v>
      </c>
      <c r="B151" s="214">
        <v>0</v>
      </c>
      <c r="C151" s="214">
        <v>0</v>
      </c>
      <c r="D151" s="214">
        <v>0</v>
      </c>
      <c r="E151" s="214">
        <v>212.5</v>
      </c>
      <c r="F151" s="214">
        <v>230</v>
      </c>
      <c r="G151" s="214">
        <v>230</v>
      </c>
      <c r="H151" s="214">
        <v>230</v>
      </c>
      <c r="I151" s="214">
        <v>260.5</v>
      </c>
      <c r="J151" s="214">
        <v>227.5</v>
      </c>
      <c r="K151" s="214">
        <v>227.5</v>
      </c>
      <c r="L151" s="214">
        <v>227.5</v>
      </c>
      <c r="M151" s="214">
        <v>220</v>
      </c>
      <c r="N151" s="214">
        <v>215</v>
      </c>
      <c r="O151" s="214">
        <v>152.5</v>
      </c>
      <c r="P151" s="214">
        <v>125</v>
      </c>
      <c r="Q151" s="214">
        <v>0</v>
      </c>
      <c r="R151" s="214">
        <v>0</v>
      </c>
      <c r="S151" s="214">
        <v>0</v>
      </c>
      <c r="T151" s="214">
        <v>0</v>
      </c>
      <c r="U151" s="214">
        <v>182.5</v>
      </c>
      <c r="V151" s="214">
        <v>238</v>
      </c>
      <c r="W151" s="214">
        <v>238</v>
      </c>
      <c r="X151" s="214">
        <v>0</v>
      </c>
      <c r="Y151" s="214">
        <v>102.5</v>
      </c>
      <c r="Z151" s="214">
        <v>132.5</v>
      </c>
      <c r="AA151" s="214">
        <v>238</v>
      </c>
      <c r="AB151" s="214">
        <v>247</v>
      </c>
      <c r="AC151" s="214">
        <v>212.5</v>
      </c>
      <c r="AD151" s="214">
        <v>200</v>
      </c>
      <c r="AE151" s="214">
        <v>200</v>
      </c>
      <c r="AF151" s="214">
        <v>160</v>
      </c>
      <c r="AG151" s="214">
        <v>160</v>
      </c>
      <c r="AH151" s="214">
        <v>122.5</v>
      </c>
      <c r="AI151" s="214">
        <v>120</v>
      </c>
      <c r="AJ151" s="214">
        <v>120</v>
      </c>
      <c r="AK151" s="214">
        <v>115</v>
      </c>
      <c r="AL151" s="214">
        <v>0</v>
      </c>
    </row>
  </sheetData>
  <sheetProtection formatCells="0" formatColumns="0" formatRows="0" insertColumns="0" insertRows="0" insertHyperlinks="0" deleteColumns="0" deleteRows="0" sort="0" autoFilter="0" pivotTables="0"/>
  <phoneticPr fontId="7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AL151"/>
  <sheetViews>
    <sheetView workbookViewId="0"/>
  </sheetViews>
  <sheetFormatPr defaultColWidth="9.140625" defaultRowHeight="15" x14ac:dyDescent="0.25"/>
  <cols>
    <col min="1" max="1" width="8" style="214" customWidth="1"/>
    <col min="2" max="50" width="7" style="214" customWidth="1"/>
    <col min="51" max="16384" width="9.140625" style="214"/>
  </cols>
  <sheetData>
    <row r="1" spans="1:38" x14ac:dyDescent="0.25">
      <c r="B1" s="214" t="s">
        <v>461</v>
      </c>
      <c r="C1" s="214" t="s">
        <v>460</v>
      </c>
      <c r="D1" s="214" t="s">
        <v>459</v>
      </c>
      <c r="E1" s="214" t="s">
        <v>199</v>
      </c>
      <c r="F1" s="214" t="s">
        <v>200</v>
      </c>
      <c r="G1" s="214" t="s">
        <v>201</v>
      </c>
      <c r="H1" s="214" t="s">
        <v>202</v>
      </c>
      <c r="I1" s="214" t="s">
        <v>119</v>
      </c>
      <c r="J1" s="214" t="s">
        <v>309</v>
      </c>
      <c r="K1" s="214" t="s">
        <v>310</v>
      </c>
      <c r="L1" s="214" t="s">
        <v>311</v>
      </c>
      <c r="M1" s="214" t="s">
        <v>312</v>
      </c>
      <c r="N1" s="214" t="s">
        <v>313</v>
      </c>
      <c r="O1" s="214" t="s">
        <v>314</v>
      </c>
      <c r="P1" s="214" t="s">
        <v>315</v>
      </c>
      <c r="Q1" s="214" t="s">
        <v>316</v>
      </c>
      <c r="R1" s="214" t="s">
        <v>458</v>
      </c>
      <c r="S1" s="214" t="s">
        <v>457</v>
      </c>
      <c r="T1" s="214" t="s">
        <v>456</v>
      </c>
      <c r="U1" s="214" t="s">
        <v>455</v>
      </c>
      <c r="V1" s="214" t="s">
        <v>454</v>
      </c>
      <c r="W1" s="214" t="s">
        <v>453</v>
      </c>
      <c r="X1" s="214" t="s">
        <v>452</v>
      </c>
      <c r="Y1" s="214" t="s">
        <v>451</v>
      </c>
      <c r="Z1" s="214" t="s">
        <v>450</v>
      </c>
      <c r="AA1" s="214" t="s">
        <v>449</v>
      </c>
      <c r="AB1" s="214" t="s">
        <v>448</v>
      </c>
      <c r="AC1" s="214" t="s">
        <v>447</v>
      </c>
      <c r="AD1" s="214" t="s">
        <v>446</v>
      </c>
      <c r="AE1" s="214" t="s">
        <v>445</v>
      </c>
      <c r="AF1" s="214" t="s">
        <v>444</v>
      </c>
      <c r="AG1" s="214" t="s">
        <v>443</v>
      </c>
      <c r="AH1" s="214" t="s">
        <v>442</v>
      </c>
      <c r="AI1" s="214" t="s">
        <v>441</v>
      </c>
      <c r="AJ1" s="214" t="s">
        <v>440</v>
      </c>
      <c r="AK1" s="214" t="s">
        <v>439</v>
      </c>
      <c r="AL1" s="214" t="s">
        <v>438</v>
      </c>
    </row>
    <row r="2" spans="1:38" x14ac:dyDescent="0.25">
      <c r="A2" s="214" t="s">
        <v>211</v>
      </c>
      <c r="B2" s="214">
        <v>0</v>
      </c>
      <c r="C2" s="214">
        <v>0</v>
      </c>
      <c r="D2" s="214">
        <v>0</v>
      </c>
      <c r="E2" s="214">
        <v>0</v>
      </c>
      <c r="F2" s="214">
        <v>0</v>
      </c>
      <c r="G2" s="214">
        <v>0</v>
      </c>
      <c r="H2" s="214">
        <v>0</v>
      </c>
      <c r="I2" s="214">
        <v>0</v>
      </c>
      <c r="J2" s="214">
        <v>0</v>
      </c>
      <c r="K2" s="214">
        <v>0</v>
      </c>
      <c r="L2" s="214">
        <v>0</v>
      </c>
      <c r="M2" s="214">
        <v>0</v>
      </c>
      <c r="N2" s="214">
        <v>0</v>
      </c>
      <c r="O2" s="214">
        <v>0</v>
      </c>
      <c r="P2" s="214">
        <v>0</v>
      </c>
      <c r="Q2" s="214">
        <v>0</v>
      </c>
      <c r="R2" s="214">
        <v>0</v>
      </c>
      <c r="S2" s="214">
        <v>0</v>
      </c>
      <c r="T2" s="214">
        <v>0</v>
      </c>
      <c r="U2" s="214">
        <v>0</v>
      </c>
      <c r="V2" s="214">
        <v>0</v>
      </c>
      <c r="W2" s="214">
        <v>0</v>
      </c>
      <c r="X2" s="214">
        <v>99.2</v>
      </c>
      <c r="Y2" s="214">
        <v>99.2</v>
      </c>
      <c r="Z2" s="214">
        <v>99.2</v>
      </c>
      <c r="AA2" s="214">
        <v>0</v>
      </c>
      <c r="AB2" s="214">
        <v>0</v>
      </c>
      <c r="AC2" s="214">
        <v>0</v>
      </c>
      <c r="AD2" s="214">
        <v>0</v>
      </c>
      <c r="AE2" s="214">
        <v>0</v>
      </c>
      <c r="AF2" s="214">
        <v>0</v>
      </c>
      <c r="AG2" s="214">
        <v>0</v>
      </c>
      <c r="AH2" s="214">
        <v>0</v>
      </c>
      <c r="AI2" s="214">
        <v>0</v>
      </c>
      <c r="AJ2" s="214">
        <v>0</v>
      </c>
      <c r="AK2" s="214">
        <v>0</v>
      </c>
      <c r="AL2" s="214">
        <v>0</v>
      </c>
    </row>
    <row r="3" spans="1:38" x14ac:dyDescent="0.25">
      <c r="A3" s="214" t="s">
        <v>212</v>
      </c>
      <c r="B3" s="214">
        <v>0</v>
      </c>
      <c r="C3" s="214">
        <v>0</v>
      </c>
      <c r="D3" s="214">
        <v>0</v>
      </c>
      <c r="E3" s="214">
        <v>0</v>
      </c>
      <c r="F3" s="214">
        <v>0</v>
      </c>
      <c r="G3" s="214">
        <v>0</v>
      </c>
      <c r="H3" s="214">
        <v>0</v>
      </c>
      <c r="I3" s="214">
        <v>0</v>
      </c>
      <c r="J3" s="214">
        <v>0</v>
      </c>
      <c r="K3" s="214">
        <v>0</v>
      </c>
      <c r="L3" s="214">
        <v>0</v>
      </c>
      <c r="M3" s="214">
        <v>0</v>
      </c>
      <c r="N3" s="214">
        <v>0</v>
      </c>
      <c r="O3" s="214">
        <v>0</v>
      </c>
      <c r="P3" s="214">
        <v>0</v>
      </c>
      <c r="Q3" s="214">
        <v>0</v>
      </c>
      <c r="R3" s="214">
        <v>0</v>
      </c>
      <c r="S3" s="214">
        <v>0</v>
      </c>
      <c r="T3" s="214">
        <v>0</v>
      </c>
      <c r="U3" s="214">
        <v>0</v>
      </c>
      <c r="V3" s="214">
        <v>0</v>
      </c>
      <c r="W3" s="214">
        <v>0</v>
      </c>
      <c r="X3" s="214">
        <v>57.3</v>
      </c>
      <c r="Y3" s="214">
        <v>57.3</v>
      </c>
      <c r="Z3" s="214">
        <v>57.3</v>
      </c>
      <c r="AA3" s="214">
        <v>0</v>
      </c>
      <c r="AB3" s="214">
        <v>0</v>
      </c>
      <c r="AC3" s="214">
        <v>0</v>
      </c>
      <c r="AD3" s="214">
        <v>0</v>
      </c>
      <c r="AE3" s="214">
        <v>0</v>
      </c>
      <c r="AF3" s="214">
        <v>0</v>
      </c>
      <c r="AG3" s="214">
        <v>0</v>
      </c>
      <c r="AH3" s="214">
        <v>0</v>
      </c>
      <c r="AI3" s="214">
        <v>0</v>
      </c>
      <c r="AJ3" s="214">
        <v>0</v>
      </c>
      <c r="AK3" s="214">
        <v>0</v>
      </c>
      <c r="AL3" s="214">
        <v>0</v>
      </c>
    </row>
    <row r="4" spans="1:38" x14ac:dyDescent="0.25">
      <c r="A4" s="214" t="s">
        <v>213</v>
      </c>
      <c r="B4" s="214">
        <v>0</v>
      </c>
      <c r="C4" s="214">
        <v>0</v>
      </c>
      <c r="D4" s="214">
        <v>0</v>
      </c>
      <c r="E4" s="214">
        <v>0</v>
      </c>
      <c r="F4" s="214">
        <v>0</v>
      </c>
      <c r="G4" s="214">
        <v>0</v>
      </c>
      <c r="H4" s="214">
        <v>0</v>
      </c>
      <c r="I4" s="214">
        <v>0</v>
      </c>
      <c r="J4" s="214">
        <v>0</v>
      </c>
      <c r="K4" s="214">
        <v>0</v>
      </c>
      <c r="L4" s="214">
        <v>0</v>
      </c>
      <c r="M4" s="214">
        <v>0</v>
      </c>
      <c r="N4" s="214">
        <v>0</v>
      </c>
      <c r="O4" s="214">
        <v>0</v>
      </c>
      <c r="P4" s="214">
        <v>0</v>
      </c>
      <c r="Q4" s="214">
        <v>0</v>
      </c>
      <c r="R4" s="214">
        <v>0</v>
      </c>
      <c r="S4" s="214">
        <v>0</v>
      </c>
      <c r="T4" s="214">
        <v>0</v>
      </c>
      <c r="U4" s="214">
        <v>0</v>
      </c>
      <c r="V4" s="214">
        <v>0</v>
      </c>
      <c r="W4" s="214">
        <v>0</v>
      </c>
      <c r="X4" s="214">
        <v>154.30000000000001</v>
      </c>
      <c r="Y4" s="214">
        <v>154.30000000000001</v>
      </c>
      <c r="Z4" s="214">
        <v>154.30000000000001</v>
      </c>
      <c r="AA4" s="214">
        <v>0</v>
      </c>
      <c r="AB4" s="214">
        <v>0</v>
      </c>
      <c r="AC4" s="214">
        <v>0</v>
      </c>
      <c r="AD4" s="214">
        <v>0</v>
      </c>
      <c r="AE4" s="214">
        <v>0</v>
      </c>
      <c r="AF4" s="214">
        <v>0</v>
      </c>
      <c r="AG4" s="214">
        <v>0</v>
      </c>
      <c r="AH4" s="214">
        <v>0</v>
      </c>
      <c r="AI4" s="214">
        <v>0</v>
      </c>
      <c r="AJ4" s="214">
        <v>0</v>
      </c>
      <c r="AK4" s="214">
        <v>0</v>
      </c>
      <c r="AL4" s="214">
        <v>0</v>
      </c>
    </row>
    <row r="5" spans="1:38" x14ac:dyDescent="0.25">
      <c r="A5" s="214" t="s">
        <v>214</v>
      </c>
      <c r="B5" s="214">
        <v>0</v>
      </c>
      <c r="C5" s="214">
        <v>0</v>
      </c>
      <c r="D5" s="214">
        <v>0</v>
      </c>
      <c r="E5" s="214">
        <v>0</v>
      </c>
      <c r="F5" s="214">
        <v>0</v>
      </c>
      <c r="G5" s="214">
        <v>0</v>
      </c>
      <c r="H5" s="214">
        <v>0</v>
      </c>
      <c r="I5" s="214">
        <v>0</v>
      </c>
      <c r="J5" s="214">
        <v>0</v>
      </c>
      <c r="K5" s="214">
        <v>0</v>
      </c>
      <c r="L5" s="214">
        <v>0</v>
      </c>
      <c r="M5" s="214">
        <v>0</v>
      </c>
      <c r="N5" s="214">
        <v>0</v>
      </c>
      <c r="O5" s="214">
        <v>0</v>
      </c>
      <c r="P5" s="214">
        <v>0</v>
      </c>
      <c r="Q5" s="214">
        <v>0</v>
      </c>
      <c r="R5" s="214">
        <v>0</v>
      </c>
      <c r="S5" s="214">
        <v>0</v>
      </c>
      <c r="T5" s="214">
        <v>0</v>
      </c>
      <c r="U5" s="214">
        <v>0</v>
      </c>
      <c r="V5" s="214">
        <v>0</v>
      </c>
      <c r="W5" s="214">
        <v>0</v>
      </c>
      <c r="X5" s="214">
        <v>310.89999999999998</v>
      </c>
      <c r="Y5" s="214">
        <v>310.89999999999998</v>
      </c>
      <c r="Z5" s="214">
        <v>310.89999999999998</v>
      </c>
      <c r="AA5" s="214">
        <v>0</v>
      </c>
      <c r="AB5" s="214">
        <v>0</v>
      </c>
      <c r="AC5" s="214">
        <v>0</v>
      </c>
      <c r="AD5" s="214">
        <v>0</v>
      </c>
      <c r="AE5" s="214">
        <v>0</v>
      </c>
      <c r="AF5" s="214">
        <v>0</v>
      </c>
      <c r="AG5" s="214">
        <v>0</v>
      </c>
      <c r="AH5" s="214">
        <v>0</v>
      </c>
      <c r="AI5" s="214">
        <v>0</v>
      </c>
      <c r="AJ5" s="214">
        <v>0</v>
      </c>
      <c r="AK5" s="214">
        <v>0</v>
      </c>
      <c r="AL5" s="214">
        <v>0</v>
      </c>
    </row>
    <row r="6" spans="1:38" x14ac:dyDescent="0.25">
      <c r="A6" s="214" t="s">
        <v>704</v>
      </c>
      <c r="B6" s="214">
        <v>0</v>
      </c>
      <c r="C6" s="214">
        <v>0</v>
      </c>
      <c r="D6" s="214">
        <v>0</v>
      </c>
      <c r="E6" s="214">
        <v>0</v>
      </c>
      <c r="F6" s="214">
        <v>0</v>
      </c>
      <c r="G6" s="214">
        <v>0</v>
      </c>
      <c r="H6" s="214">
        <v>0</v>
      </c>
      <c r="I6" s="214">
        <v>0</v>
      </c>
      <c r="J6" s="214">
        <v>0</v>
      </c>
      <c r="K6" s="214">
        <v>0</v>
      </c>
      <c r="L6" s="214">
        <v>0</v>
      </c>
      <c r="M6" s="214">
        <v>0</v>
      </c>
      <c r="N6" s="214">
        <v>0</v>
      </c>
      <c r="O6" s="214">
        <v>0</v>
      </c>
      <c r="P6" s="214">
        <v>0</v>
      </c>
      <c r="Q6" s="214">
        <v>0</v>
      </c>
      <c r="R6" s="214">
        <v>0</v>
      </c>
      <c r="S6" s="214">
        <v>0</v>
      </c>
      <c r="T6" s="214">
        <v>0</v>
      </c>
      <c r="U6" s="214">
        <v>0</v>
      </c>
      <c r="V6" s="214">
        <v>0</v>
      </c>
      <c r="W6" s="214">
        <v>0</v>
      </c>
      <c r="X6" s="214">
        <v>121.3</v>
      </c>
      <c r="Y6" s="214">
        <v>121.3</v>
      </c>
      <c r="Z6" s="214">
        <v>121.3</v>
      </c>
      <c r="AA6" s="214">
        <v>0</v>
      </c>
      <c r="AB6" s="214">
        <v>0</v>
      </c>
      <c r="AC6" s="214">
        <v>0</v>
      </c>
      <c r="AD6" s="214">
        <v>0</v>
      </c>
      <c r="AE6" s="214">
        <v>0</v>
      </c>
      <c r="AF6" s="214">
        <v>0</v>
      </c>
      <c r="AG6" s="214">
        <v>0</v>
      </c>
      <c r="AH6" s="214">
        <v>0</v>
      </c>
      <c r="AI6" s="214">
        <v>0</v>
      </c>
      <c r="AJ6" s="214">
        <v>0</v>
      </c>
      <c r="AK6" s="214">
        <v>0</v>
      </c>
      <c r="AL6" s="214">
        <v>0</v>
      </c>
    </row>
    <row r="7" spans="1:38" x14ac:dyDescent="0.25">
      <c r="A7" s="214" t="s">
        <v>703</v>
      </c>
      <c r="B7" s="214">
        <v>0</v>
      </c>
      <c r="C7" s="214">
        <v>0</v>
      </c>
      <c r="D7" s="214">
        <v>0</v>
      </c>
      <c r="E7" s="214">
        <v>0</v>
      </c>
      <c r="F7" s="214">
        <v>0</v>
      </c>
      <c r="G7" s="214">
        <v>0</v>
      </c>
      <c r="H7" s="214">
        <v>0</v>
      </c>
      <c r="I7" s="214">
        <v>0</v>
      </c>
      <c r="J7" s="214">
        <v>0</v>
      </c>
      <c r="K7" s="214">
        <v>0</v>
      </c>
      <c r="L7" s="214">
        <v>0</v>
      </c>
      <c r="M7" s="214">
        <v>0</v>
      </c>
      <c r="N7" s="214">
        <v>0</v>
      </c>
      <c r="O7" s="214">
        <v>0</v>
      </c>
      <c r="P7" s="214">
        <v>0</v>
      </c>
      <c r="Q7" s="214">
        <v>0</v>
      </c>
      <c r="R7" s="214">
        <v>0</v>
      </c>
      <c r="S7" s="214">
        <v>0</v>
      </c>
      <c r="T7" s="214">
        <v>0</v>
      </c>
      <c r="U7" s="214">
        <v>0</v>
      </c>
      <c r="V7" s="214">
        <v>0</v>
      </c>
      <c r="W7" s="214">
        <v>0</v>
      </c>
      <c r="X7" s="214">
        <v>66.099999999999994</v>
      </c>
      <c r="Y7" s="214">
        <v>66.099999999999994</v>
      </c>
      <c r="Z7" s="214">
        <v>66.099999999999994</v>
      </c>
      <c r="AA7" s="214">
        <v>0</v>
      </c>
      <c r="AB7" s="214">
        <v>0</v>
      </c>
      <c r="AC7" s="214">
        <v>0</v>
      </c>
      <c r="AD7" s="214">
        <v>0</v>
      </c>
      <c r="AE7" s="214">
        <v>0</v>
      </c>
      <c r="AF7" s="214">
        <v>0</v>
      </c>
      <c r="AG7" s="214">
        <v>0</v>
      </c>
      <c r="AH7" s="214">
        <v>0</v>
      </c>
      <c r="AI7" s="214">
        <v>0</v>
      </c>
      <c r="AJ7" s="214">
        <v>0</v>
      </c>
      <c r="AK7" s="214">
        <v>0</v>
      </c>
      <c r="AL7" s="214">
        <v>0</v>
      </c>
    </row>
    <row r="8" spans="1:38" x14ac:dyDescent="0.25">
      <c r="A8" s="214" t="s">
        <v>702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  <c r="R8" s="214">
        <v>0</v>
      </c>
      <c r="S8" s="214">
        <v>0</v>
      </c>
      <c r="T8" s="214">
        <v>0</v>
      </c>
      <c r="U8" s="214">
        <v>0</v>
      </c>
      <c r="V8" s="214">
        <v>0</v>
      </c>
      <c r="W8" s="214">
        <v>0</v>
      </c>
      <c r="X8" s="214">
        <v>165.3</v>
      </c>
      <c r="Y8" s="214">
        <v>165.3</v>
      </c>
      <c r="Z8" s="214">
        <v>165.3</v>
      </c>
      <c r="AA8" s="214">
        <v>0</v>
      </c>
      <c r="AB8" s="214">
        <v>0</v>
      </c>
      <c r="AC8" s="214">
        <v>0</v>
      </c>
      <c r="AD8" s="214">
        <v>0</v>
      </c>
      <c r="AE8" s="214">
        <v>0</v>
      </c>
      <c r="AF8" s="214">
        <v>0</v>
      </c>
      <c r="AG8" s="214">
        <v>0</v>
      </c>
      <c r="AH8" s="214">
        <v>0</v>
      </c>
      <c r="AI8" s="214">
        <v>0</v>
      </c>
      <c r="AJ8" s="214">
        <v>0</v>
      </c>
      <c r="AK8" s="214">
        <v>0</v>
      </c>
      <c r="AL8" s="214">
        <v>0</v>
      </c>
    </row>
    <row r="9" spans="1:38" x14ac:dyDescent="0.25">
      <c r="A9" s="214" t="s">
        <v>701</v>
      </c>
      <c r="B9" s="214">
        <v>0</v>
      </c>
      <c r="C9" s="214">
        <v>0</v>
      </c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  <c r="T9" s="214">
        <v>0</v>
      </c>
      <c r="U9" s="214">
        <v>0</v>
      </c>
      <c r="V9" s="214">
        <v>0</v>
      </c>
      <c r="W9" s="214">
        <v>0</v>
      </c>
      <c r="X9" s="214">
        <v>352.7</v>
      </c>
      <c r="Y9" s="214">
        <v>352.7</v>
      </c>
      <c r="Z9" s="214">
        <v>352.7</v>
      </c>
      <c r="AA9" s="214">
        <v>0</v>
      </c>
      <c r="AB9" s="214">
        <v>0</v>
      </c>
      <c r="AC9" s="214">
        <v>0</v>
      </c>
      <c r="AD9" s="214">
        <v>0</v>
      </c>
      <c r="AE9" s="214">
        <v>0</v>
      </c>
      <c r="AF9" s="214">
        <v>0</v>
      </c>
      <c r="AG9" s="214">
        <v>0</v>
      </c>
      <c r="AH9" s="214">
        <v>0</v>
      </c>
      <c r="AI9" s="214">
        <v>0</v>
      </c>
      <c r="AJ9" s="214">
        <v>0</v>
      </c>
      <c r="AK9" s="214">
        <v>0</v>
      </c>
      <c r="AL9" s="214">
        <v>0</v>
      </c>
    </row>
    <row r="10" spans="1:38" x14ac:dyDescent="0.25">
      <c r="A10" s="214" t="s">
        <v>700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14">
        <v>0</v>
      </c>
      <c r="S10" s="214">
        <v>0</v>
      </c>
      <c r="T10" s="214">
        <v>0</v>
      </c>
      <c r="U10" s="214">
        <v>0</v>
      </c>
      <c r="V10" s="214">
        <v>0</v>
      </c>
      <c r="W10" s="214">
        <v>0</v>
      </c>
      <c r="X10" s="214">
        <v>0</v>
      </c>
      <c r="Y10" s="214">
        <v>137.80000000000001</v>
      </c>
      <c r="Z10" s="214">
        <v>179.7</v>
      </c>
      <c r="AA10" s="214">
        <v>0</v>
      </c>
      <c r="AB10" s="214">
        <v>0</v>
      </c>
      <c r="AC10" s="214">
        <v>0</v>
      </c>
      <c r="AD10" s="214">
        <v>0</v>
      </c>
      <c r="AE10" s="214">
        <v>0</v>
      </c>
      <c r="AF10" s="214">
        <v>0</v>
      </c>
      <c r="AG10" s="214">
        <v>0</v>
      </c>
      <c r="AH10" s="214">
        <v>0</v>
      </c>
      <c r="AI10" s="214">
        <v>0</v>
      </c>
      <c r="AJ10" s="214">
        <v>0</v>
      </c>
      <c r="AK10" s="214">
        <v>0</v>
      </c>
      <c r="AL10" s="214">
        <v>0</v>
      </c>
    </row>
    <row r="11" spans="1:38" x14ac:dyDescent="0.25">
      <c r="A11" s="214" t="s">
        <v>699</v>
      </c>
      <c r="B11" s="214">
        <v>0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  <c r="T11" s="214">
        <v>0</v>
      </c>
      <c r="U11" s="214">
        <v>0</v>
      </c>
      <c r="V11" s="214">
        <v>0</v>
      </c>
      <c r="W11" s="214">
        <v>0</v>
      </c>
      <c r="X11" s="214">
        <v>0</v>
      </c>
      <c r="Y11" s="214">
        <v>79.400000000000006</v>
      </c>
      <c r="Z11" s="214">
        <v>110.2</v>
      </c>
      <c r="AA11" s="214">
        <v>0</v>
      </c>
      <c r="AB11" s="214">
        <v>0</v>
      </c>
      <c r="AC11" s="214">
        <v>0</v>
      </c>
      <c r="AD11" s="214">
        <v>0</v>
      </c>
      <c r="AE11" s="214">
        <v>0</v>
      </c>
      <c r="AF11" s="214">
        <v>0</v>
      </c>
      <c r="AG11" s="214">
        <v>0</v>
      </c>
      <c r="AH11" s="214">
        <v>0</v>
      </c>
      <c r="AI11" s="214">
        <v>0</v>
      </c>
      <c r="AJ11" s="214">
        <v>0</v>
      </c>
      <c r="AK11" s="214">
        <v>0</v>
      </c>
      <c r="AL11" s="214">
        <v>0</v>
      </c>
    </row>
    <row r="12" spans="1:38" x14ac:dyDescent="0.25">
      <c r="A12" s="214" t="s">
        <v>698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14">
        <v>0</v>
      </c>
      <c r="S12" s="214">
        <v>0</v>
      </c>
      <c r="T12" s="214">
        <v>0</v>
      </c>
      <c r="U12" s="214">
        <v>0</v>
      </c>
      <c r="V12" s="214">
        <v>0</v>
      </c>
      <c r="W12" s="214">
        <v>0</v>
      </c>
      <c r="X12" s="214">
        <v>0</v>
      </c>
      <c r="Y12" s="214">
        <v>205</v>
      </c>
      <c r="Z12" s="214">
        <v>221.6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>
        <v>0</v>
      </c>
      <c r="AK12" s="214">
        <v>0</v>
      </c>
      <c r="AL12" s="214">
        <v>0</v>
      </c>
    </row>
    <row r="13" spans="1:38" x14ac:dyDescent="0.25">
      <c r="A13" s="214" t="s">
        <v>697</v>
      </c>
      <c r="B13" s="214">
        <v>0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0</v>
      </c>
      <c r="X13" s="214">
        <v>0</v>
      </c>
      <c r="Y13" s="214">
        <v>414.5</v>
      </c>
      <c r="Z13" s="214">
        <v>511.5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214">
        <v>0</v>
      </c>
      <c r="AL13" s="214">
        <v>0</v>
      </c>
    </row>
    <row r="14" spans="1:38" x14ac:dyDescent="0.25">
      <c r="A14" s="214" t="s">
        <v>710</v>
      </c>
      <c r="B14" s="214">
        <v>0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0</v>
      </c>
      <c r="V14" s="214">
        <v>0</v>
      </c>
      <c r="W14" s="214">
        <v>0</v>
      </c>
      <c r="X14" s="214">
        <v>99.2</v>
      </c>
      <c r="Y14" s="214">
        <v>165.3</v>
      </c>
      <c r="Z14" s="214">
        <v>211.6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>
        <v>0</v>
      </c>
      <c r="AK14" s="214">
        <v>0</v>
      </c>
      <c r="AL14" s="214">
        <v>0</v>
      </c>
    </row>
    <row r="15" spans="1:38" x14ac:dyDescent="0.25">
      <c r="A15" s="214" t="s">
        <v>709</v>
      </c>
      <c r="B15" s="214">
        <v>0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14">
        <v>71.7</v>
      </c>
      <c r="Y15" s="214">
        <v>88.2</v>
      </c>
      <c r="Z15" s="214">
        <v>126.8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>
        <v>0</v>
      </c>
      <c r="AK15" s="214">
        <v>0</v>
      </c>
      <c r="AL15" s="214">
        <v>0</v>
      </c>
    </row>
    <row r="16" spans="1:38" x14ac:dyDescent="0.25">
      <c r="A16" s="214" t="s">
        <v>708</v>
      </c>
      <c r="B16" s="214">
        <v>0</v>
      </c>
      <c r="C16" s="214">
        <v>0</v>
      </c>
      <c r="D16" s="214">
        <v>0</v>
      </c>
      <c r="E16" s="214">
        <v>0</v>
      </c>
      <c r="F16" s="214">
        <v>314.2</v>
      </c>
      <c r="G16" s="214">
        <v>314.2</v>
      </c>
      <c r="H16" s="214">
        <v>314.2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14">
        <v>165.3</v>
      </c>
      <c r="Y16" s="214">
        <v>231.5</v>
      </c>
      <c r="Z16" s="214">
        <v>286.60000000000002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>
        <v>0</v>
      </c>
      <c r="AK16" s="214">
        <v>0</v>
      </c>
      <c r="AL16" s="214">
        <v>0</v>
      </c>
    </row>
    <row r="17" spans="1:38" x14ac:dyDescent="0.25">
      <c r="A17" s="214" t="s">
        <v>707</v>
      </c>
      <c r="B17" s="214">
        <v>0</v>
      </c>
      <c r="C17" s="214">
        <v>0</v>
      </c>
      <c r="D17" s="214">
        <v>0</v>
      </c>
      <c r="E17" s="214">
        <v>0</v>
      </c>
      <c r="F17" s="214">
        <v>700</v>
      </c>
      <c r="G17" s="214">
        <v>700</v>
      </c>
      <c r="H17" s="214">
        <v>700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14">
        <v>336.2</v>
      </c>
      <c r="Y17" s="214">
        <v>485</v>
      </c>
      <c r="Z17" s="214">
        <v>617.29999999999995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>
        <v>0</v>
      </c>
      <c r="AK17" s="214">
        <v>0</v>
      </c>
      <c r="AL17" s="214">
        <v>0</v>
      </c>
    </row>
    <row r="18" spans="1:38" x14ac:dyDescent="0.25">
      <c r="A18" s="214" t="s">
        <v>227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154.30000000000001</v>
      </c>
      <c r="V18" s="214">
        <v>154.30000000000001</v>
      </c>
      <c r="W18" s="214">
        <v>154.30000000000001</v>
      </c>
      <c r="X18" s="214">
        <v>93.7</v>
      </c>
      <c r="Y18" s="214">
        <v>121.3</v>
      </c>
      <c r="Z18" s="214">
        <v>231.5</v>
      </c>
      <c r="AA18" s="214">
        <v>154.30000000000001</v>
      </c>
      <c r="AB18" s="214">
        <v>154.30000000000001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>
        <v>0</v>
      </c>
      <c r="AK18" s="214">
        <v>0</v>
      </c>
      <c r="AL18" s="214">
        <v>0</v>
      </c>
    </row>
    <row r="19" spans="1:38" x14ac:dyDescent="0.25">
      <c r="A19" s="214" t="s">
        <v>228</v>
      </c>
      <c r="B19" s="214">
        <v>0</v>
      </c>
      <c r="C19" s="214">
        <v>0</v>
      </c>
      <c r="D19" s="214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126.8</v>
      </c>
      <c r="V19" s="214">
        <v>126.8</v>
      </c>
      <c r="W19" s="214">
        <v>126.8</v>
      </c>
      <c r="X19" s="214">
        <v>49.6</v>
      </c>
      <c r="Y19" s="214">
        <v>93.7</v>
      </c>
      <c r="Z19" s="214">
        <v>137.80000000000001</v>
      </c>
      <c r="AA19" s="214">
        <v>126.8</v>
      </c>
      <c r="AB19" s="214">
        <v>126.8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>
        <v>0</v>
      </c>
      <c r="AK19" s="214">
        <v>0</v>
      </c>
      <c r="AL19" s="214">
        <v>0</v>
      </c>
    </row>
    <row r="20" spans="1:38" x14ac:dyDescent="0.25">
      <c r="A20" s="214" t="s">
        <v>229</v>
      </c>
      <c r="B20" s="214">
        <v>0</v>
      </c>
      <c r="C20" s="214">
        <v>0</v>
      </c>
      <c r="D20" s="214">
        <v>0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215</v>
      </c>
      <c r="V20" s="214">
        <v>215</v>
      </c>
      <c r="W20" s="214">
        <v>215</v>
      </c>
      <c r="X20" s="214">
        <v>121.3</v>
      </c>
      <c r="Y20" s="214">
        <v>192.9</v>
      </c>
      <c r="Z20" s="214">
        <v>303.10000000000002</v>
      </c>
      <c r="AA20" s="214">
        <v>215</v>
      </c>
      <c r="AB20" s="214">
        <v>215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>
        <v>0</v>
      </c>
      <c r="AK20" s="214">
        <v>0</v>
      </c>
      <c r="AL20" s="214">
        <v>0</v>
      </c>
    </row>
    <row r="21" spans="1:38" x14ac:dyDescent="0.25">
      <c r="A21" s="214" t="s">
        <v>230</v>
      </c>
      <c r="B21" s="214">
        <v>0</v>
      </c>
      <c r="C21" s="214">
        <v>0</v>
      </c>
      <c r="D21" s="214">
        <v>0</v>
      </c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4">
        <v>496</v>
      </c>
      <c r="V21" s="214">
        <v>496</v>
      </c>
      <c r="W21" s="214">
        <v>496</v>
      </c>
      <c r="X21" s="214">
        <v>264.60000000000002</v>
      </c>
      <c r="Y21" s="214">
        <v>396.8</v>
      </c>
      <c r="Z21" s="214">
        <v>672.4</v>
      </c>
      <c r="AA21" s="214">
        <v>496</v>
      </c>
      <c r="AB21" s="214">
        <v>496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>
        <v>0</v>
      </c>
      <c r="AK21" s="214">
        <v>0</v>
      </c>
      <c r="AL21" s="214">
        <v>0</v>
      </c>
    </row>
    <row r="22" spans="1:38" x14ac:dyDescent="0.25">
      <c r="A22" s="214" t="s">
        <v>329</v>
      </c>
      <c r="B22" s="214">
        <v>0</v>
      </c>
      <c r="C22" s="214">
        <v>121.3</v>
      </c>
      <c r="D22" s="214">
        <v>181.9</v>
      </c>
      <c r="E22" s="214">
        <v>358.3</v>
      </c>
      <c r="F22" s="214">
        <v>463</v>
      </c>
      <c r="G22" s="214">
        <v>479.5</v>
      </c>
      <c r="H22" s="214">
        <v>479.5</v>
      </c>
      <c r="I22" s="214">
        <v>479.5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0</v>
      </c>
      <c r="S22" s="214">
        <v>0</v>
      </c>
      <c r="T22" s="214">
        <v>0</v>
      </c>
      <c r="U22" s="214">
        <v>314.2</v>
      </c>
      <c r="V22" s="214">
        <v>319.7</v>
      </c>
      <c r="W22" s="214">
        <v>363.8</v>
      </c>
      <c r="X22" s="214">
        <v>33.1</v>
      </c>
      <c r="Y22" s="214">
        <v>170.9</v>
      </c>
      <c r="Z22" s="214">
        <v>231.5</v>
      </c>
      <c r="AA22" s="214">
        <v>374.8</v>
      </c>
      <c r="AB22" s="214">
        <v>363.8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>
        <v>0</v>
      </c>
      <c r="AK22" s="214">
        <v>0</v>
      </c>
      <c r="AL22" s="214">
        <v>0</v>
      </c>
    </row>
    <row r="23" spans="1:38" x14ac:dyDescent="0.25">
      <c r="A23" s="214" t="s">
        <v>330</v>
      </c>
      <c r="B23" s="214">
        <v>0</v>
      </c>
      <c r="C23" s="214">
        <v>78.3</v>
      </c>
      <c r="D23" s="214">
        <v>137.80000000000001</v>
      </c>
      <c r="E23" s="214">
        <v>215</v>
      </c>
      <c r="F23" s="214">
        <v>347.2</v>
      </c>
      <c r="G23" s="214">
        <v>347.2</v>
      </c>
      <c r="H23" s="214">
        <v>347.2</v>
      </c>
      <c r="I23" s="214">
        <v>319.7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0</v>
      </c>
      <c r="U23" s="214">
        <v>181.9</v>
      </c>
      <c r="V23" s="214">
        <v>209.4</v>
      </c>
      <c r="W23" s="214">
        <v>253.5</v>
      </c>
      <c r="X23" s="214">
        <v>44.1</v>
      </c>
      <c r="Y23" s="214">
        <v>99.2</v>
      </c>
      <c r="Z23" s="214">
        <v>159.80000000000001</v>
      </c>
      <c r="AA23" s="214">
        <v>259</v>
      </c>
      <c r="AB23" s="214">
        <v>253.5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>
        <v>0</v>
      </c>
      <c r="AK23" s="214">
        <v>0</v>
      </c>
      <c r="AL23" s="214">
        <v>0</v>
      </c>
    </row>
    <row r="24" spans="1:38" x14ac:dyDescent="0.25">
      <c r="A24" s="214" t="s">
        <v>331</v>
      </c>
      <c r="B24" s="214">
        <v>0</v>
      </c>
      <c r="C24" s="214">
        <v>215</v>
      </c>
      <c r="D24" s="214">
        <v>264.60000000000002</v>
      </c>
      <c r="E24" s="214">
        <v>429.9</v>
      </c>
      <c r="F24" s="214">
        <v>457.5</v>
      </c>
      <c r="G24" s="214">
        <v>507.1</v>
      </c>
      <c r="H24" s="214">
        <v>551.20000000000005</v>
      </c>
      <c r="I24" s="214">
        <v>523.6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0</v>
      </c>
      <c r="U24" s="214">
        <v>443.1</v>
      </c>
      <c r="V24" s="214">
        <v>443.1</v>
      </c>
      <c r="W24" s="214">
        <v>507.1</v>
      </c>
      <c r="X24" s="214">
        <v>115.7</v>
      </c>
      <c r="Y24" s="214">
        <v>248</v>
      </c>
      <c r="Z24" s="214">
        <v>308.60000000000002</v>
      </c>
      <c r="AA24" s="214">
        <v>598.6</v>
      </c>
      <c r="AB24" s="214">
        <v>512.6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>
        <v>0</v>
      </c>
      <c r="AK24" s="214">
        <v>0</v>
      </c>
      <c r="AL24" s="214">
        <v>0</v>
      </c>
    </row>
    <row r="25" spans="1:38" x14ac:dyDescent="0.25">
      <c r="A25" s="214" t="s">
        <v>332</v>
      </c>
      <c r="B25" s="214">
        <v>0</v>
      </c>
      <c r="C25" s="214">
        <v>414.5</v>
      </c>
      <c r="D25" s="214">
        <v>584.20000000000005</v>
      </c>
      <c r="E25" s="214">
        <v>992.1</v>
      </c>
      <c r="F25" s="214">
        <v>1168.4000000000001</v>
      </c>
      <c r="G25" s="214">
        <v>1207</v>
      </c>
      <c r="H25" s="214">
        <v>1416.5</v>
      </c>
      <c r="I25" s="214">
        <v>1416.5</v>
      </c>
      <c r="J25" s="214">
        <v>0</v>
      </c>
      <c r="K25" s="214">
        <v>1212.5</v>
      </c>
      <c r="L25" s="214">
        <v>1107.8</v>
      </c>
      <c r="M25" s="214">
        <v>1107.8</v>
      </c>
      <c r="N25" s="214">
        <v>1102.3</v>
      </c>
      <c r="O25" s="214">
        <v>0</v>
      </c>
      <c r="P25" s="214">
        <v>0</v>
      </c>
      <c r="Q25" s="214">
        <v>0</v>
      </c>
      <c r="R25" s="214">
        <v>0</v>
      </c>
      <c r="S25" s="214">
        <v>0</v>
      </c>
      <c r="T25" s="214">
        <v>0</v>
      </c>
      <c r="U25" s="214">
        <v>928.1</v>
      </c>
      <c r="V25" s="214">
        <v>928.1</v>
      </c>
      <c r="W25" s="214">
        <v>1107.8</v>
      </c>
      <c r="X25" s="214">
        <v>347.2</v>
      </c>
      <c r="Y25" s="214">
        <v>567.70000000000005</v>
      </c>
      <c r="Z25" s="214">
        <v>700</v>
      </c>
      <c r="AA25" s="214">
        <v>1232.4000000000001</v>
      </c>
      <c r="AB25" s="214">
        <v>1631.4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</row>
    <row r="26" spans="1:38" x14ac:dyDescent="0.25">
      <c r="A26" s="214" t="s">
        <v>333</v>
      </c>
      <c r="B26" s="214">
        <v>0</v>
      </c>
      <c r="C26" s="214">
        <v>0</v>
      </c>
      <c r="D26" s="214">
        <v>231.5</v>
      </c>
      <c r="E26" s="214">
        <v>435.4</v>
      </c>
      <c r="F26" s="214">
        <v>475</v>
      </c>
      <c r="G26" s="214">
        <v>534.6</v>
      </c>
      <c r="H26" s="214">
        <v>551.20000000000005</v>
      </c>
      <c r="I26" s="214">
        <v>563.29999999999995</v>
      </c>
      <c r="J26" s="214">
        <v>557.79999999999995</v>
      </c>
      <c r="K26" s="214">
        <v>557.79999999999995</v>
      </c>
      <c r="L26" s="214">
        <v>557.79999999999995</v>
      </c>
      <c r="M26" s="214">
        <v>336.2</v>
      </c>
      <c r="N26" s="214">
        <v>336.2</v>
      </c>
      <c r="O26" s="214">
        <v>336.2</v>
      </c>
      <c r="P26" s="214">
        <v>314.2</v>
      </c>
      <c r="Q26" s="214">
        <v>0</v>
      </c>
      <c r="R26" s="214">
        <v>0</v>
      </c>
      <c r="S26" s="214">
        <v>0</v>
      </c>
      <c r="T26" s="214">
        <v>0</v>
      </c>
      <c r="U26" s="214">
        <v>363.8</v>
      </c>
      <c r="V26" s="214">
        <v>429.9</v>
      </c>
      <c r="W26" s="214">
        <v>468.5</v>
      </c>
      <c r="X26" s="214">
        <v>77.2</v>
      </c>
      <c r="Y26" s="214">
        <v>159.80000000000001</v>
      </c>
      <c r="Z26" s="214">
        <v>248</v>
      </c>
      <c r="AA26" s="214">
        <v>468.5</v>
      </c>
      <c r="AB26" s="214">
        <v>534.6</v>
      </c>
      <c r="AC26" s="214">
        <v>424.4</v>
      </c>
      <c r="AD26" s="214">
        <v>424.4</v>
      </c>
      <c r="AE26" s="214">
        <v>424.4</v>
      </c>
      <c r="AF26" s="214">
        <v>377</v>
      </c>
      <c r="AG26" s="214">
        <v>377</v>
      </c>
      <c r="AH26" s="214">
        <v>259</v>
      </c>
      <c r="AI26" s="214">
        <v>231.5</v>
      </c>
      <c r="AJ26" s="214">
        <v>170.9</v>
      </c>
      <c r="AK26" s="214">
        <v>170.9</v>
      </c>
      <c r="AL26" s="214">
        <v>0</v>
      </c>
    </row>
    <row r="27" spans="1:38" x14ac:dyDescent="0.25">
      <c r="A27" s="214" t="s">
        <v>334</v>
      </c>
      <c r="B27" s="214">
        <v>0</v>
      </c>
      <c r="C27" s="214">
        <v>0</v>
      </c>
      <c r="D27" s="214">
        <v>115.7</v>
      </c>
      <c r="E27" s="214">
        <v>275.60000000000002</v>
      </c>
      <c r="F27" s="214">
        <v>330</v>
      </c>
      <c r="G27" s="214">
        <v>330.7</v>
      </c>
      <c r="H27" s="214">
        <v>369.3</v>
      </c>
      <c r="I27" s="214">
        <v>369.3</v>
      </c>
      <c r="J27" s="214">
        <v>314.2</v>
      </c>
      <c r="K27" s="214">
        <v>292</v>
      </c>
      <c r="L27" s="214">
        <v>259</v>
      </c>
      <c r="M27" s="214">
        <v>259</v>
      </c>
      <c r="N27" s="214">
        <v>215</v>
      </c>
      <c r="O27" s="214">
        <v>215</v>
      </c>
      <c r="P27" s="214">
        <v>215</v>
      </c>
      <c r="Q27" s="214">
        <v>0</v>
      </c>
      <c r="R27" s="214">
        <v>0</v>
      </c>
      <c r="S27" s="214">
        <v>0</v>
      </c>
      <c r="T27" s="214">
        <v>0</v>
      </c>
      <c r="U27" s="214">
        <v>254.6</v>
      </c>
      <c r="V27" s="214">
        <v>254.6</v>
      </c>
      <c r="W27" s="214">
        <v>281.10000000000002</v>
      </c>
      <c r="X27" s="214">
        <v>88.2</v>
      </c>
      <c r="Y27" s="214">
        <v>88.2</v>
      </c>
      <c r="Z27" s="214">
        <v>159.80000000000001</v>
      </c>
      <c r="AA27" s="214">
        <v>330.7</v>
      </c>
      <c r="AB27" s="214">
        <v>330.7</v>
      </c>
      <c r="AC27" s="214">
        <v>242.5</v>
      </c>
      <c r="AD27" s="214">
        <v>226</v>
      </c>
      <c r="AE27" s="214">
        <v>209.4</v>
      </c>
      <c r="AF27" s="214">
        <v>209.4</v>
      </c>
      <c r="AG27" s="214">
        <v>209.4</v>
      </c>
      <c r="AH27" s="214">
        <v>176.4</v>
      </c>
      <c r="AI27" s="214">
        <v>176.4</v>
      </c>
      <c r="AJ27" s="214">
        <v>93.7</v>
      </c>
      <c r="AK27" s="214">
        <v>93.7</v>
      </c>
      <c r="AL27" s="214">
        <v>0</v>
      </c>
    </row>
    <row r="28" spans="1:38" x14ac:dyDescent="0.25">
      <c r="A28" s="214" t="s">
        <v>335</v>
      </c>
      <c r="B28" s="214">
        <v>0</v>
      </c>
      <c r="C28" s="214">
        <v>0</v>
      </c>
      <c r="D28" s="214">
        <v>253.5</v>
      </c>
      <c r="E28" s="214">
        <v>451.9</v>
      </c>
      <c r="F28" s="214">
        <v>479.5</v>
      </c>
      <c r="G28" s="214">
        <v>501.6</v>
      </c>
      <c r="H28" s="214">
        <v>569.9</v>
      </c>
      <c r="I28" s="214">
        <v>578.70000000000005</v>
      </c>
      <c r="J28" s="214">
        <v>562.20000000000005</v>
      </c>
      <c r="K28" s="214">
        <v>562.20000000000005</v>
      </c>
      <c r="L28" s="214">
        <v>556.70000000000005</v>
      </c>
      <c r="M28" s="214">
        <v>391.3</v>
      </c>
      <c r="N28" s="214">
        <v>391.3</v>
      </c>
      <c r="O28" s="214">
        <v>391.3</v>
      </c>
      <c r="P28" s="214">
        <v>391.3</v>
      </c>
      <c r="Q28" s="214">
        <v>0</v>
      </c>
      <c r="R28" s="214">
        <v>0</v>
      </c>
      <c r="S28" s="214">
        <v>0</v>
      </c>
      <c r="T28" s="214">
        <v>0</v>
      </c>
      <c r="U28" s="214">
        <v>443.1</v>
      </c>
      <c r="V28" s="214">
        <v>479.5</v>
      </c>
      <c r="W28" s="214">
        <v>534.6</v>
      </c>
      <c r="X28" s="214">
        <v>132.30000000000001</v>
      </c>
      <c r="Y28" s="214">
        <v>220.5</v>
      </c>
      <c r="Z28" s="214">
        <v>303.10000000000002</v>
      </c>
      <c r="AA28" s="214">
        <v>551.20000000000005</v>
      </c>
      <c r="AB28" s="214">
        <v>556.70000000000005</v>
      </c>
      <c r="AC28" s="214">
        <v>556.70000000000005</v>
      </c>
      <c r="AD28" s="214">
        <v>556.70000000000005</v>
      </c>
      <c r="AE28" s="214">
        <v>556.70000000000005</v>
      </c>
      <c r="AF28" s="214">
        <v>443.1</v>
      </c>
      <c r="AG28" s="214">
        <v>443.1</v>
      </c>
      <c r="AH28" s="214">
        <v>303.10000000000002</v>
      </c>
      <c r="AI28" s="214">
        <v>352.7</v>
      </c>
      <c r="AJ28" s="214">
        <v>226</v>
      </c>
      <c r="AK28" s="214">
        <v>226</v>
      </c>
      <c r="AL28" s="214">
        <v>0</v>
      </c>
    </row>
    <row r="29" spans="1:38" x14ac:dyDescent="0.25">
      <c r="A29" s="214" t="s">
        <v>336</v>
      </c>
      <c r="B29" s="214">
        <v>0</v>
      </c>
      <c r="C29" s="214">
        <v>529.1</v>
      </c>
      <c r="D29" s="214">
        <v>600.79999999999995</v>
      </c>
      <c r="E29" s="214">
        <v>1162.9000000000001</v>
      </c>
      <c r="F29" s="214">
        <v>1185</v>
      </c>
      <c r="G29" s="214">
        <v>1300.7</v>
      </c>
      <c r="H29" s="214">
        <v>1334.9</v>
      </c>
      <c r="I29" s="214">
        <v>1428.6</v>
      </c>
      <c r="J29" s="214">
        <v>1350.3</v>
      </c>
      <c r="K29" s="214">
        <v>1350.3</v>
      </c>
      <c r="L29" s="214">
        <v>1345.9</v>
      </c>
      <c r="M29" s="214">
        <v>948</v>
      </c>
      <c r="N29" s="214">
        <v>909.4</v>
      </c>
      <c r="O29" s="214">
        <v>909.4</v>
      </c>
      <c r="P29" s="214">
        <v>909.4</v>
      </c>
      <c r="Q29" s="214">
        <v>0</v>
      </c>
      <c r="R29" s="214">
        <v>0</v>
      </c>
      <c r="S29" s="214">
        <v>0</v>
      </c>
      <c r="T29" s="214">
        <v>0</v>
      </c>
      <c r="U29" s="214">
        <v>1019.6</v>
      </c>
      <c r="V29" s="214">
        <v>1157.4000000000001</v>
      </c>
      <c r="W29" s="214">
        <v>1229.0999999999999</v>
      </c>
      <c r="X29" s="214">
        <v>529.1</v>
      </c>
      <c r="Y29" s="214">
        <v>529.1</v>
      </c>
      <c r="Z29" s="214">
        <v>694.5</v>
      </c>
      <c r="AA29" s="214">
        <v>1273.2</v>
      </c>
      <c r="AB29" s="214">
        <v>1273.2</v>
      </c>
      <c r="AC29" s="214">
        <v>1201.5</v>
      </c>
      <c r="AD29" s="214">
        <v>1201.5</v>
      </c>
      <c r="AE29" s="214">
        <v>1179.5</v>
      </c>
      <c r="AF29" s="214">
        <v>873</v>
      </c>
      <c r="AG29" s="214">
        <v>873</v>
      </c>
      <c r="AH29" s="214">
        <v>749.6</v>
      </c>
      <c r="AI29" s="214">
        <v>749.6</v>
      </c>
      <c r="AJ29" s="214">
        <v>490.5</v>
      </c>
      <c r="AK29" s="214">
        <v>490.5</v>
      </c>
      <c r="AL29" s="214">
        <v>0</v>
      </c>
    </row>
    <row r="30" spans="1:38" x14ac:dyDescent="0.25">
      <c r="A30" s="214" t="s">
        <v>337</v>
      </c>
      <c r="B30" s="214">
        <v>0</v>
      </c>
      <c r="C30" s="214">
        <v>0</v>
      </c>
      <c r="D30" s="214">
        <v>181.9</v>
      </c>
      <c r="E30" s="214">
        <v>451.9</v>
      </c>
      <c r="F30" s="214">
        <v>540.1</v>
      </c>
      <c r="G30" s="214">
        <v>600.79999999999995</v>
      </c>
      <c r="H30" s="214">
        <v>700</v>
      </c>
      <c r="I30" s="214">
        <v>700</v>
      </c>
      <c r="J30" s="214">
        <v>551.20000000000005</v>
      </c>
      <c r="K30" s="214">
        <v>496</v>
      </c>
      <c r="L30" s="214">
        <v>496</v>
      </c>
      <c r="M30" s="214">
        <v>440.9</v>
      </c>
      <c r="N30" s="214">
        <v>440.9</v>
      </c>
      <c r="O30" s="214">
        <v>440.9</v>
      </c>
      <c r="P30" s="214">
        <v>363.8</v>
      </c>
      <c r="Q30" s="214">
        <v>248</v>
      </c>
      <c r="R30" s="214">
        <v>0</v>
      </c>
      <c r="S30" s="214">
        <v>0</v>
      </c>
      <c r="T30" s="214">
        <v>0</v>
      </c>
      <c r="U30" s="214">
        <v>374.8</v>
      </c>
      <c r="V30" s="214">
        <v>425.5</v>
      </c>
      <c r="W30" s="214">
        <v>457.5</v>
      </c>
      <c r="X30" s="214">
        <v>0</v>
      </c>
      <c r="Y30" s="214">
        <v>330.7</v>
      </c>
      <c r="Z30" s="214">
        <v>330.7</v>
      </c>
      <c r="AA30" s="214">
        <v>557.79999999999995</v>
      </c>
      <c r="AB30" s="214">
        <v>562.20000000000005</v>
      </c>
      <c r="AC30" s="214">
        <v>435.4</v>
      </c>
      <c r="AD30" s="214">
        <v>421.1</v>
      </c>
      <c r="AE30" s="214">
        <v>421.1</v>
      </c>
      <c r="AF30" s="214">
        <v>418.9</v>
      </c>
      <c r="AG30" s="214">
        <v>409</v>
      </c>
      <c r="AH30" s="214">
        <v>270.10000000000002</v>
      </c>
      <c r="AI30" s="214">
        <v>270.10000000000002</v>
      </c>
      <c r="AJ30" s="214">
        <v>181.9</v>
      </c>
      <c r="AK30" s="214">
        <v>181.9</v>
      </c>
      <c r="AL30" s="214">
        <v>181.9</v>
      </c>
    </row>
    <row r="31" spans="1:38" x14ac:dyDescent="0.25">
      <c r="A31" s="214" t="s">
        <v>338</v>
      </c>
      <c r="B31" s="214">
        <v>0</v>
      </c>
      <c r="C31" s="214">
        <v>0</v>
      </c>
      <c r="D31" s="214">
        <v>126.8</v>
      </c>
      <c r="E31" s="214">
        <v>292.10000000000002</v>
      </c>
      <c r="F31" s="214">
        <v>336.2</v>
      </c>
      <c r="G31" s="214">
        <v>451.9</v>
      </c>
      <c r="H31" s="214">
        <v>507.1</v>
      </c>
      <c r="I31" s="214">
        <v>507.1</v>
      </c>
      <c r="J31" s="214">
        <v>314.2</v>
      </c>
      <c r="K31" s="214">
        <v>325.2</v>
      </c>
      <c r="L31" s="214">
        <v>325.2</v>
      </c>
      <c r="M31" s="214">
        <v>303.10000000000002</v>
      </c>
      <c r="N31" s="214">
        <v>303.10000000000002</v>
      </c>
      <c r="O31" s="214">
        <v>303.10000000000002</v>
      </c>
      <c r="P31" s="214">
        <v>292.10000000000002</v>
      </c>
      <c r="Q31" s="214">
        <v>165.3</v>
      </c>
      <c r="R31" s="214">
        <v>0</v>
      </c>
      <c r="S31" s="214">
        <v>0</v>
      </c>
      <c r="T31" s="214">
        <v>0</v>
      </c>
      <c r="U31" s="214">
        <v>292.10000000000002</v>
      </c>
      <c r="V31" s="214">
        <v>303.10000000000002</v>
      </c>
      <c r="W31" s="214">
        <v>314.2</v>
      </c>
      <c r="X31" s="214">
        <v>0</v>
      </c>
      <c r="Y31" s="214">
        <v>126.8</v>
      </c>
      <c r="Z31" s="214">
        <v>172</v>
      </c>
      <c r="AA31" s="214">
        <v>369.3</v>
      </c>
      <c r="AB31" s="214">
        <v>369.3</v>
      </c>
      <c r="AC31" s="214">
        <v>325.2</v>
      </c>
      <c r="AD31" s="214">
        <v>325.2</v>
      </c>
      <c r="AE31" s="214">
        <v>314.2</v>
      </c>
      <c r="AF31" s="214">
        <v>314.2</v>
      </c>
      <c r="AG31" s="214">
        <v>242.5</v>
      </c>
      <c r="AH31" s="214">
        <v>203.9</v>
      </c>
      <c r="AI31" s="214">
        <v>203.9</v>
      </c>
      <c r="AJ31" s="214">
        <v>170.9</v>
      </c>
      <c r="AK31" s="214">
        <v>137.80000000000001</v>
      </c>
      <c r="AL31" s="214">
        <v>137.80000000000001</v>
      </c>
    </row>
    <row r="32" spans="1:38" x14ac:dyDescent="0.25">
      <c r="A32" s="214" t="s">
        <v>339</v>
      </c>
      <c r="B32" s="214">
        <v>0</v>
      </c>
      <c r="C32" s="214">
        <v>0</v>
      </c>
      <c r="D32" s="214">
        <v>220.5</v>
      </c>
      <c r="E32" s="214">
        <v>485</v>
      </c>
      <c r="F32" s="214">
        <v>529.1</v>
      </c>
      <c r="G32" s="214">
        <v>573.20000000000005</v>
      </c>
      <c r="H32" s="214">
        <v>606.29999999999995</v>
      </c>
      <c r="I32" s="214">
        <v>611.79999999999995</v>
      </c>
      <c r="J32" s="214">
        <v>600</v>
      </c>
      <c r="K32" s="214">
        <v>600</v>
      </c>
      <c r="L32" s="214">
        <v>600</v>
      </c>
      <c r="M32" s="214">
        <v>496</v>
      </c>
      <c r="N32" s="214">
        <v>463</v>
      </c>
      <c r="O32" s="214">
        <v>463</v>
      </c>
      <c r="P32" s="214">
        <v>347.2</v>
      </c>
      <c r="Q32" s="214">
        <v>264.60000000000002</v>
      </c>
      <c r="R32" s="214">
        <v>0</v>
      </c>
      <c r="S32" s="214">
        <v>0</v>
      </c>
      <c r="T32" s="214">
        <v>0</v>
      </c>
      <c r="U32" s="214">
        <v>451.9</v>
      </c>
      <c r="V32" s="214">
        <v>468.5</v>
      </c>
      <c r="W32" s="214">
        <v>502.7</v>
      </c>
      <c r="X32" s="214">
        <v>0</v>
      </c>
      <c r="Y32" s="214">
        <v>165.3</v>
      </c>
      <c r="Z32" s="214">
        <v>341.7</v>
      </c>
      <c r="AA32" s="214">
        <v>595.20000000000005</v>
      </c>
      <c r="AB32" s="214">
        <v>611.79999999999995</v>
      </c>
      <c r="AC32" s="214">
        <v>578.70000000000005</v>
      </c>
      <c r="AD32" s="214">
        <v>518.1</v>
      </c>
      <c r="AE32" s="214">
        <v>507.1</v>
      </c>
      <c r="AF32" s="214">
        <v>451.9</v>
      </c>
      <c r="AG32" s="214">
        <v>418.9</v>
      </c>
      <c r="AH32" s="214">
        <v>331.8</v>
      </c>
      <c r="AI32" s="214">
        <v>331.8</v>
      </c>
      <c r="AJ32" s="214">
        <v>270.10000000000002</v>
      </c>
      <c r="AK32" s="214">
        <v>220.5</v>
      </c>
      <c r="AL32" s="214">
        <v>220.5</v>
      </c>
    </row>
    <row r="33" spans="1:38" x14ac:dyDescent="0.25">
      <c r="A33" s="214" t="s">
        <v>340</v>
      </c>
      <c r="B33" s="214">
        <v>0</v>
      </c>
      <c r="C33" s="214">
        <v>0</v>
      </c>
      <c r="D33" s="214">
        <v>529.1</v>
      </c>
      <c r="E33" s="214">
        <v>1118.8</v>
      </c>
      <c r="F33" s="214">
        <v>1333.8</v>
      </c>
      <c r="G33" s="214">
        <v>1543.2</v>
      </c>
      <c r="H33" s="214">
        <v>1697.6</v>
      </c>
      <c r="I33" s="214">
        <v>1697.6</v>
      </c>
      <c r="J33" s="214">
        <v>1377.9</v>
      </c>
      <c r="K33" s="214">
        <v>1295.2</v>
      </c>
      <c r="L33" s="214">
        <v>1273.2</v>
      </c>
      <c r="M33" s="214">
        <v>1185</v>
      </c>
      <c r="N33" s="214">
        <v>1135.4000000000001</v>
      </c>
      <c r="O33" s="214">
        <v>1135.4000000000001</v>
      </c>
      <c r="P33" s="214">
        <v>948</v>
      </c>
      <c r="Q33" s="214">
        <v>622.79999999999995</v>
      </c>
      <c r="R33" s="214">
        <v>0</v>
      </c>
      <c r="S33" s="214">
        <v>0</v>
      </c>
      <c r="T33" s="214">
        <v>0</v>
      </c>
      <c r="U33" s="214">
        <v>1118.8</v>
      </c>
      <c r="V33" s="214">
        <v>1118.8</v>
      </c>
      <c r="W33" s="214">
        <v>1267.7</v>
      </c>
      <c r="X33" s="214">
        <v>0</v>
      </c>
      <c r="Y33" s="214">
        <v>600.79999999999995</v>
      </c>
      <c r="Z33" s="214">
        <v>777.1</v>
      </c>
      <c r="AA33" s="214">
        <v>1516.8</v>
      </c>
      <c r="AB33" s="214">
        <v>1516.8</v>
      </c>
      <c r="AC33" s="214">
        <v>1251.0999999999999</v>
      </c>
      <c r="AD33" s="214">
        <v>1181.7</v>
      </c>
      <c r="AE33" s="214">
        <v>1181.7</v>
      </c>
      <c r="AF33" s="214">
        <v>1140.9000000000001</v>
      </c>
      <c r="AG33" s="214">
        <v>1026.3</v>
      </c>
      <c r="AH33" s="214">
        <v>771.6</v>
      </c>
      <c r="AI33" s="214">
        <v>771.6</v>
      </c>
      <c r="AJ33" s="214">
        <v>540.1</v>
      </c>
      <c r="AK33" s="214">
        <v>540.1</v>
      </c>
      <c r="AL33" s="214">
        <v>540.1</v>
      </c>
    </row>
    <row r="34" spans="1:38" x14ac:dyDescent="0.25">
      <c r="A34" s="214" t="s">
        <v>341</v>
      </c>
      <c r="B34" s="214">
        <v>0</v>
      </c>
      <c r="C34" s="214">
        <v>0</v>
      </c>
      <c r="D34" s="214">
        <v>0</v>
      </c>
      <c r="E34" s="214">
        <v>512.6</v>
      </c>
      <c r="F34" s="214">
        <v>562.20000000000005</v>
      </c>
      <c r="G34" s="214">
        <v>672.4</v>
      </c>
      <c r="H34" s="214">
        <v>722</v>
      </c>
      <c r="I34" s="214">
        <v>722</v>
      </c>
      <c r="J34" s="214">
        <v>617.29999999999995</v>
      </c>
      <c r="K34" s="214">
        <v>589.70000000000005</v>
      </c>
      <c r="L34" s="214">
        <v>589.70000000000005</v>
      </c>
      <c r="M34" s="214">
        <v>534.6</v>
      </c>
      <c r="N34" s="214">
        <v>518.1</v>
      </c>
      <c r="O34" s="214">
        <v>440.9</v>
      </c>
      <c r="P34" s="214">
        <v>385.8</v>
      </c>
      <c r="Q34" s="214">
        <v>336.2</v>
      </c>
      <c r="R34" s="214">
        <v>148.80000000000001</v>
      </c>
      <c r="S34" s="214">
        <v>0</v>
      </c>
      <c r="T34" s="214">
        <v>0</v>
      </c>
      <c r="U34" s="214">
        <v>440.9</v>
      </c>
      <c r="V34" s="214">
        <v>474</v>
      </c>
      <c r="W34" s="214">
        <v>563.29999999999995</v>
      </c>
      <c r="X34" s="214">
        <v>0</v>
      </c>
      <c r="Y34" s="214">
        <v>0</v>
      </c>
      <c r="Z34" s="214">
        <v>440.9</v>
      </c>
      <c r="AA34" s="214">
        <v>580.9</v>
      </c>
      <c r="AB34" s="214">
        <v>585.29999999999995</v>
      </c>
      <c r="AC34" s="214">
        <v>545.6</v>
      </c>
      <c r="AD34" s="214">
        <v>485</v>
      </c>
      <c r="AE34" s="214">
        <v>435.4</v>
      </c>
      <c r="AF34" s="214">
        <v>403.4</v>
      </c>
      <c r="AG34" s="214">
        <v>386.9</v>
      </c>
      <c r="AH34" s="214">
        <v>352.7</v>
      </c>
      <c r="AI34" s="214">
        <v>352.7</v>
      </c>
      <c r="AJ34" s="214">
        <v>286.60000000000002</v>
      </c>
      <c r="AK34" s="214">
        <v>275.60000000000002</v>
      </c>
      <c r="AL34" s="214">
        <v>0</v>
      </c>
    </row>
    <row r="35" spans="1:38" x14ac:dyDescent="0.25">
      <c r="A35" s="214" t="s">
        <v>342</v>
      </c>
      <c r="B35" s="214">
        <v>0</v>
      </c>
      <c r="C35" s="214">
        <v>0</v>
      </c>
      <c r="D35" s="214">
        <v>0</v>
      </c>
      <c r="E35" s="214">
        <v>319.7</v>
      </c>
      <c r="F35" s="214">
        <v>352.7</v>
      </c>
      <c r="G35" s="214">
        <v>442</v>
      </c>
      <c r="H35" s="214">
        <v>518.1</v>
      </c>
      <c r="I35" s="214">
        <v>518.1</v>
      </c>
      <c r="J35" s="214">
        <v>413.4</v>
      </c>
      <c r="K35" s="214">
        <v>374.8</v>
      </c>
      <c r="L35" s="214">
        <v>374.8</v>
      </c>
      <c r="M35" s="214">
        <v>319.7</v>
      </c>
      <c r="N35" s="214">
        <v>319.7</v>
      </c>
      <c r="O35" s="214">
        <v>308.60000000000002</v>
      </c>
      <c r="P35" s="214">
        <v>308.60000000000002</v>
      </c>
      <c r="Q35" s="214">
        <v>242.5</v>
      </c>
      <c r="R35" s="214">
        <v>137.80000000000001</v>
      </c>
      <c r="S35" s="214">
        <v>0</v>
      </c>
      <c r="T35" s="214">
        <v>0</v>
      </c>
      <c r="U35" s="214">
        <v>314.2</v>
      </c>
      <c r="V35" s="214">
        <v>314.2</v>
      </c>
      <c r="W35" s="214">
        <v>363.8</v>
      </c>
      <c r="X35" s="214">
        <v>0</v>
      </c>
      <c r="Y35" s="214">
        <v>0</v>
      </c>
      <c r="Z35" s="214">
        <v>215</v>
      </c>
      <c r="AA35" s="214">
        <v>391.3</v>
      </c>
      <c r="AB35" s="214">
        <v>424.4</v>
      </c>
      <c r="AC35" s="214">
        <v>394.6</v>
      </c>
      <c r="AD35" s="214">
        <v>394.6</v>
      </c>
      <c r="AE35" s="214">
        <v>394.6</v>
      </c>
      <c r="AF35" s="214">
        <v>259</v>
      </c>
      <c r="AG35" s="214">
        <v>259</v>
      </c>
      <c r="AH35" s="214">
        <v>259</v>
      </c>
      <c r="AI35" s="214">
        <v>259</v>
      </c>
      <c r="AJ35" s="214">
        <v>203.9</v>
      </c>
      <c r="AK35" s="214">
        <v>198.4</v>
      </c>
      <c r="AL35" s="214">
        <v>0</v>
      </c>
    </row>
    <row r="36" spans="1:38" x14ac:dyDescent="0.25">
      <c r="A36" s="214" t="s">
        <v>343</v>
      </c>
      <c r="B36" s="214">
        <v>0</v>
      </c>
      <c r="C36" s="214">
        <v>0</v>
      </c>
      <c r="D36" s="214">
        <v>0</v>
      </c>
      <c r="E36" s="214">
        <v>501.6</v>
      </c>
      <c r="F36" s="214">
        <v>645.1</v>
      </c>
      <c r="G36" s="214">
        <v>655.9</v>
      </c>
      <c r="H36" s="214">
        <v>727.5</v>
      </c>
      <c r="I36" s="214">
        <v>727.5</v>
      </c>
      <c r="J36" s="214">
        <v>666.9</v>
      </c>
      <c r="K36" s="214">
        <v>600.79999999999995</v>
      </c>
      <c r="L36" s="214">
        <v>600.79999999999995</v>
      </c>
      <c r="M36" s="214">
        <v>562.20000000000005</v>
      </c>
      <c r="N36" s="214">
        <v>507.1</v>
      </c>
      <c r="O36" s="214">
        <v>496</v>
      </c>
      <c r="P36" s="214">
        <v>485</v>
      </c>
      <c r="Q36" s="214">
        <v>435.4</v>
      </c>
      <c r="R36" s="214">
        <v>275.60000000000002</v>
      </c>
      <c r="S36" s="214">
        <v>0</v>
      </c>
      <c r="T36" s="214">
        <v>0</v>
      </c>
      <c r="U36" s="214">
        <v>424.4</v>
      </c>
      <c r="V36" s="214">
        <v>556.70000000000005</v>
      </c>
      <c r="W36" s="214">
        <v>618.4</v>
      </c>
      <c r="X36" s="214">
        <v>0</v>
      </c>
      <c r="Y36" s="214">
        <v>0</v>
      </c>
      <c r="Z36" s="214">
        <v>402.3</v>
      </c>
      <c r="AA36" s="214">
        <v>672.4</v>
      </c>
      <c r="AB36" s="214">
        <v>677.9</v>
      </c>
      <c r="AC36" s="214">
        <v>677.9</v>
      </c>
      <c r="AD36" s="214">
        <v>529.1</v>
      </c>
      <c r="AE36" s="214">
        <v>529.1</v>
      </c>
      <c r="AF36" s="214">
        <v>529.1</v>
      </c>
      <c r="AG36" s="214">
        <v>446.4</v>
      </c>
      <c r="AH36" s="214">
        <v>429.9</v>
      </c>
      <c r="AI36" s="214">
        <v>429.9</v>
      </c>
      <c r="AJ36" s="214">
        <v>369.3</v>
      </c>
      <c r="AK36" s="214">
        <v>341.7</v>
      </c>
      <c r="AL36" s="214">
        <v>0</v>
      </c>
    </row>
    <row r="37" spans="1:38" x14ac:dyDescent="0.25">
      <c r="A37" s="214" t="s">
        <v>344</v>
      </c>
      <c r="B37" s="214">
        <v>0</v>
      </c>
      <c r="C37" s="214">
        <v>0</v>
      </c>
      <c r="D37" s="214">
        <v>0</v>
      </c>
      <c r="E37" s="214">
        <v>1262.0999999999999</v>
      </c>
      <c r="F37" s="214">
        <v>1460.6</v>
      </c>
      <c r="G37" s="214">
        <v>1670</v>
      </c>
      <c r="H37" s="214">
        <v>1807.8</v>
      </c>
      <c r="I37" s="214">
        <v>1807.8</v>
      </c>
      <c r="J37" s="214">
        <v>1675.5</v>
      </c>
      <c r="K37" s="214">
        <v>1537.7</v>
      </c>
      <c r="L37" s="214">
        <v>1537.7</v>
      </c>
      <c r="M37" s="214">
        <v>1322.8</v>
      </c>
      <c r="N37" s="214">
        <v>1262.0999999999999</v>
      </c>
      <c r="O37" s="214">
        <v>1179.3</v>
      </c>
      <c r="P37" s="214">
        <v>1124.4000000000001</v>
      </c>
      <c r="Q37" s="214">
        <v>1008.6</v>
      </c>
      <c r="R37" s="214">
        <v>562.20000000000005</v>
      </c>
      <c r="S37" s="214">
        <v>0</v>
      </c>
      <c r="T37" s="214">
        <v>0</v>
      </c>
      <c r="U37" s="214">
        <v>1058.2</v>
      </c>
      <c r="V37" s="214">
        <v>1333.8</v>
      </c>
      <c r="W37" s="214">
        <v>1478.2</v>
      </c>
      <c r="X37" s="214">
        <v>0</v>
      </c>
      <c r="Y37" s="214">
        <v>0</v>
      </c>
      <c r="Z37" s="214">
        <v>1058.2</v>
      </c>
      <c r="AA37" s="214">
        <v>1620.4</v>
      </c>
      <c r="AB37" s="214">
        <v>1653.5</v>
      </c>
      <c r="AC37" s="214">
        <v>1581.8</v>
      </c>
      <c r="AD37" s="214">
        <v>1284.2</v>
      </c>
      <c r="AE37" s="214">
        <v>1248.9000000000001</v>
      </c>
      <c r="AF37" s="214">
        <v>1175.0999999999999</v>
      </c>
      <c r="AG37" s="214">
        <v>1030.7</v>
      </c>
      <c r="AH37" s="214">
        <v>997.6</v>
      </c>
      <c r="AI37" s="214">
        <v>997.6</v>
      </c>
      <c r="AJ37" s="214">
        <v>870.8</v>
      </c>
      <c r="AK37" s="214">
        <v>815.7</v>
      </c>
      <c r="AL37" s="214">
        <v>0</v>
      </c>
    </row>
    <row r="38" spans="1:38" x14ac:dyDescent="0.25">
      <c r="A38" s="214" t="s">
        <v>345</v>
      </c>
      <c r="B38" s="214">
        <v>0</v>
      </c>
      <c r="C38" s="214">
        <v>0</v>
      </c>
      <c r="D38" s="214">
        <v>0</v>
      </c>
      <c r="E38" s="214">
        <v>640.4</v>
      </c>
      <c r="F38" s="214">
        <v>716.5</v>
      </c>
      <c r="G38" s="214">
        <v>716.5</v>
      </c>
      <c r="H38" s="214">
        <v>777.1</v>
      </c>
      <c r="I38" s="214">
        <v>815.7</v>
      </c>
      <c r="J38" s="214">
        <v>744.1</v>
      </c>
      <c r="K38" s="214">
        <v>744.1</v>
      </c>
      <c r="L38" s="214">
        <v>700</v>
      </c>
      <c r="M38" s="214">
        <v>672.4</v>
      </c>
      <c r="N38" s="214">
        <v>490.5</v>
      </c>
      <c r="O38" s="214">
        <v>485</v>
      </c>
      <c r="P38" s="214">
        <v>435.4</v>
      </c>
      <c r="Q38" s="214">
        <v>352.7</v>
      </c>
      <c r="R38" s="214">
        <v>352.7</v>
      </c>
      <c r="S38" s="214">
        <v>352.7</v>
      </c>
      <c r="T38" s="214">
        <v>0</v>
      </c>
      <c r="U38" s="214">
        <v>457.5</v>
      </c>
      <c r="V38" s="214">
        <v>529.1</v>
      </c>
      <c r="W38" s="214">
        <v>573.20000000000005</v>
      </c>
      <c r="X38" s="214">
        <v>0</v>
      </c>
      <c r="Y38" s="214">
        <v>0</v>
      </c>
      <c r="Z38" s="214">
        <v>391.3</v>
      </c>
      <c r="AA38" s="214">
        <v>662.5</v>
      </c>
      <c r="AB38" s="214">
        <v>662.5</v>
      </c>
      <c r="AC38" s="214">
        <v>595.20000000000005</v>
      </c>
      <c r="AD38" s="214">
        <v>573.20000000000005</v>
      </c>
      <c r="AE38" s="214">
        <v>523.6</v>
      </c>
      <c r="AF38" s="214">
        <v>453</v>
      </c>
      <c r="AG38" s="214">
        <v>424.4</v>
      </c>
      <c r="AH38" s="214">
        <v>424.4</v>
      </c>
      <c r="AI38" s="214">
        <v>358.3</v>
      </c>
      <c r="AJ38" s="214">
        <v>325.2</v>
      </c>
      <c r="AK38" s="214">
        <v>325.2</v>
      </c>
      <c r="AL38" s="214">
        <v>143.30000000000001</v>
      </c>
    </row>
    <row r="39" spans="1:38" x14ac:dyDescent="0.25">
      <c r="A39" s="214" t="s">
        <v>346</v>
      </c>
      <c r="B39" s="214">
        <v>0</v>
      </c>
      <c r="C39" s="214">
        <v>0</v>
      </c>
      <c r="D39" s="214">
        <v>0</v>
      </c>
      <c r="E39" s="214">
        <v>352.7</v>
      </c>
      <c r="F39" s="214">
        <v>440.9</v>
      </c>
      <c r="G39" s="214">
        <v>474</v>
      </c>
      <c r="H39" s="214">
        <v>661.4</v>
      </c>
      <c r="I39" s="214">
        <v>661.4</v>
      </c>
      <c r="J39" s="214">
        <v>551.20000000000005</v>
      </c>
      <c r="K39" s="214">
        <v>534.6</v>
      </c>
      <c r="L39" s="214">
        <v>468.5</v>
      </c>
      <c r="M39" s="214">
        <v>435.4</v>
      </c>
      <c r="N39" s="214">
        <v>382.5</v>
      </c>
      <c r="O39" s="214">
        <v>336.2</v>
      </c>
      <c r="P39" s="214">
        <v>325.2</v>
      </c>
      <c r="Q39" s="214">
        <v>275.60000000000002</v>
      </c>
      <c r="R39" s="214">
        <v>237</v>
      </c>
      <c r="S39" s="214">
        <v>198.4</v>
      </c>
      <c r="T39" s="214">
        <v>0</v>
      </c>
      <c r="U39" s="214">
        <v>303.10000000000002</v>
      </c>
      <c r="V39" s="214">
        <v>385.8</v>
      </c>
      <c r="W39" s="214">
        <v>391.3</v>
      </c>
      <c r="X39" s="214">
        <v>0</v>
      </c>
      <c r="Y39" s="214">
        <v>0</v>
      </c>
      <c r="Z39" s="214">
        <v>215</v>
      </c>
      <c r="AA39" s="214">
        <v>429.9</v>
      </c>
      <c r="AB39" s="214">
        <v>444.2</v>
      </c>
      <c r="AC39" s="214">
        <v>413.4</v>
      </c>
      <c r="AD39" s="214">
        <v>396.8</v>
      </c>
      <c r="AE39" s="214">
        <v>396.8</v>
      </c>
      <c r="AF39" s="214">
        <v>341.7</v>
      </c>
      <c r="AG39" s="214">
        <v>309.7</v>
      </c>
      <c r="AH39" s="214">
        <v>293.2</v>
      </c>
      <c r="AI39" s="214">
        <v>253.5</v>
      </c>
      <c r="AJ39" s="214">
        <v>200.6</v>
      </c>
      <c r="AK39" s="214">
        <v>181.9</v>
      </c>
      <c r="AL39" s="214">
        <v>176.4</v>
      </c>
    </row>
    <row r="40" spans="1:38" x14ac:dyDescent="0.25">
      <c r="A40" s="214" t="s">
        <v>347</v>
      </c>
      <c r="B40" s="214">
        <v>0</v>
      </c>
      <c r="C40" s="214">
        <v>0</v>
      </c>
      <c r="D40" s="214">
        <v>0</v>
      </c>
      <c r="E40" s="214">
        <v>611.79999999999995</v>
      </c>
      <c r="F40" s="214">
        <v>683.4</v>
      </c>
      <c r="G40" s="214">
        <v>688.9</v>
      </c>
      <c r="H40" s="214">
        <v>722</v>
      </c>
      <c r="I40" s="214">
        <v>744.1</v>
      </c>
      <c r="J40" s="214">
        <v>733</v>
      </c>
      <c r="K40" s="214">
        <v>705.5</v>
      </c>
      <c r="L40" s="214">
        <v>705.3</v>
      </c>
      <c r="M40" s="214">
        <v>677.9</v>
      </c>
      <c r="N40" s="214">
        <v>562.20000000000005</v>
      </c>
      <c r="O40" s="214">
        <v>540</v>
      </c>
      <c r="P40" s="214">
        <v>507.1</v>
      </c>
      <c r="Q40" s="214">
        <v>424.4</v>
      </c>
      <c r="R40" s="214">
        <v>418.9</v>
      </c>
      <c r="S40" s="214">
        <v>385.8</v>
      </c>
      <c r="T40" s="214">
        <v>0</v>
      </c>
      <c r="U40" s="214">
        <v>501.6</v>
      </c>
      <c r="V40" s="214">
        <v>622.79999999999995</v>
      </c>
      <c r="W40" s="214">
        <v>700</v>
      </c>
      <c r="X40" s="214">
        <v>0</v>
      </c>
      <c r="Y40" s="214">
        <v>0</v>
      </c>
      <c r="Z40" s="214">
        <v>396.8</v>
      </c>
      <c r="AA40" s="214">
        <v>706.6</v>
      </c>
      <c r="AB40" s="214">
        <v>749.6</v>
      </c>
      <c r="AC40" s="214">
        <v>639.29999999999995</v>
      </c>
      <c r="AD40" s="214">
        <v>633.79999999999995</v>
      </c>
      <c r="AE40" s="214">
        <v>628.29999999999995</v>
      </c>
      <c r="AF40" s="214">
        <v>611.79999999999995</v>
      </c>
      <c r="AG40" s="214">
        <v>529.1</v>
      </c>
      <c r="AH40" s="214">
        <v>529.1</v>
      </c>
      <c r="AI40" s="214">
        <v>470.7</v>
      </c>
      <c r="AJ40" s="214">
        <v>407.9</v>
      </c>
      <c r="AK40" s="214">
        <v>402.3</v>
      </c>
      <c r="AL40" s="214">
        <v>259</v>
      </c>
    </row>
    <row r="41" spans="1:38" x14ac:dyDescent="0.25">
      <c r="A41" s="214" t="s">
        <v>348</v>
      </c>
      <c r="B41" s="214">
        <v>0</v>
      </c>
      <c r="C41" s="214">
        <v>0</v>
      </c>
      <c r="D41" s="214">
        <v>0</v>
      </c>
      <c r="E41" s="214">
        <v>1605</v>
      </c>
      <c r="F41" s="214">
        <v>1802.3</v>
      </c>
      <c r="G41" s="214">
        <v>1802.3</v>
      </c>
      <c r="H41" s="214">
        <v>1934.6</v>
      </c>
      <c r="I41" s="214">
        <v>2000.7</v>
      </c>
      <c r="J41" s="214">
        <v>1901.5</v>
      </c>
      <c r="K41" s="214">
        <v>1901.5</v>
      </c>
      <c r="L41" s="214">
        <v>1703.1</v>
      </c>
      <c r="M41" s="214">
        <v>1675.5</v>
      </c>
      <c r="N41" s="214">
        <v>1322.8</v>
      </c>
      <c r="O41" s="214">
        <v>1229.0999999999999</v>
      </c>
      <c r="P41" s="214">
        <v>1234.5999999999999</v>
      </c>
      <c r="Q41" s="214">
        <v>1008.6</v>
      </c>
      <c r="R41" s="214">
        <v>970</v>
      </c>
      <c r="S41" s="214">
        <v>925.9</v>
      </c>
      <c r="T41" s="214">
        <v>0</v>
      </c>
      <c r="U41" s="214">
        <v>1179.5</v>
      </c>
      <c r="V41" s="214">
        <v>1422</v>
      </c>
      <c r="W41" s="214">
        <v>1631.4</v>
      </c>
      <c r="X41" s="214">
        <v>0</v>
      </c>
      <c r="Y41" s="214">
        <v>0</v>
      </c>
      <c r="Z41" s="214">
        <v>1003.1</v>
      </c>
      <c r="AA41" s="214">
        <v>1785.7</v>
      </c>
      <c r="AB41" s="214">
        <v>1792.4</v>
      </c>
      <c r="AC41" s="214">
        <v>1559.8</v>
      </c>
      <c r="AD41" s="214">
        <v>1510.2</v>
      </c>
      <c r="AE41" s="214">
        <v>1493.6</v>
      </c>
      <c r="AF41" s="214">
        <v>1328.3</v>
      </c>
      <c r="AG41" s="214">
        <v>1174</v>
      </c>
      <c r="AH41" s="214">
        <v>1174</v>
      </c>
      <c r="AI41" s="214">
        <v>1082.5</v>
      </c>
      <c r="AJ41" s="214">
        <v>903.9</v>
      </c>
      <c r="AK41" s="214">
        <v>903.9</v>
      </c>
      <c r="AL41" s="214">
        <v>534.6</v>
      </c>
    </row>
    <row r="42" spans="1:38" x14ac:dyDescent="0.25">
      <c r="A42" s="214" t="s">
        <v>349</v>
      </c>
      <c r="B42" s="214">
        <v>0</v>
      </c>
      <c r="C42" s="214">
        <v>88.2</v>
      </c>
      <c r="D42" s="214">
        <v>0</v>
      </c>
      <c r="E42" s="214">
        <v>551.20000000000005</v>
      </c>
      <c r="F42" s="214">
        <v>700</v>
      </c>
      <c r="G42" s="214">
        <v>755.1</v>
      </c>
      <c r="H42" s="214">
        <v>826.7</v>
      </c>
      <c r="I42" s="214">
        <v>826.7</v>
      </c>
      <c r="J42" s="214">
        <v>766.1</v>
      </c>
      <c r="K42" s="214">
        <v>766.1</v>
      </c>
      <c r="L42" s="214">
        <v>766.1</v>
      </c>
      <c r="M42" s="214">
        <v>716.5</v>
      </c>
      <c r="N42" s="214">
        <v>617.29999999999995</v>
      </c>
      <c r="O42" s="214">
        <v>490.5</v>
      </c>
      <c r="P42" s="214">
        <v>440.9</v>
      </c>
      <c r="Q42" s="214">
        <v>374.8</v>
      </c>
      <c r="R42" s="214">
        <v>330.7</v>
      </c>
      <c r="S42" s="214">
        <v>143.30000000000001</v>
      </c>
      <c r="T42" s="214">
        <v>0</v>
      </c>
      <c r="U42" s="214">
        <v>485</v>
      </c>
      <c r="V42" s="214">
        <v>580.9</v>
      </c>
      <c r="W42" s="214">
        <v>639.29999999999995</v>
      </c>
      <c r="X42" s="214">
        <v>0</v>
      </c>
      <c r="Y42" s="214">
        <v>66.099999999999994</v>
      </c>
      <c r="Z42" s="214">
        <v>374.8</v>
      </c>
      <c r="AA42" s="214">
        <v>722</v>
      </c>
      <c r="AB42" s="214">
        <v>722</v>
      </c>
      <c r="AC42" s="214">
        <v>717.6</v>
      </c>
      <c r="AD42" s="214">
        <v>717.6</v>
      </c>
      <c r="AE42" s="214">
        <v>717.6</v>
      </c>
      <c r="AF42" s="214">
        <v>717.6</v>
      </c>
      <c r="AG42" s="214">
        <v>458.6</v>
      </c>
      <c r="AH42" s="214">
        <v>458.6</v>
      </c>
      <c r="AI42" s="214">
        <v>396.8</v>
      </c>
      <c r="AJ42" s="214">
        <v>319.7</v>
      </c>
      <c r="AK42" s="214">
        <v>319.7</v>
      </c>
      <c r="AL42" s="214">
        <v>0</v>
      </c>
    </row>
    <row r="43" spans="1:38" x14ac:dyDescent="0.25">
      <c r="A43" s="214" t="s">
        <v>350</v>
      </c>
      <c r="B43" s="214">
        <v>0</v>
      </c>
      <c r="C43" s="214">
        <v>93.7</v>
      </c>
      <c r="D43" s="214">
        <v>0</v>
      </c>
      <c r="E43" s="214">
        <v>374.8</v>
      </c>
      <c r="F43" s="214">
        <v>457.5</v>
      </c>
      <c r="G43" s="214">
        <v>512.6</v>
      </c>
      <c r="H43" s="214">
        <v>573.20000000000005</v>
      </c>
      <c r="I43" s="214">
        <v>589.70000000000005</v>
      </c>
      <c r="J43" s="214">
        <v>578.70000000000005</v>
      </c>
      <c r="K43" s="214">
        <v>573.20000000000005</v>
      </c>
      <c r="L43" s="214">
        <v>507.1</v>
      </c>
      <c r="M43" s="214">
        <v>479.5</v>
      </c>
      <c r="N43" s="214">
        <v>402.3</v>
      </c>
      <c r="O43" s="214">
        <v>326.3</v>
      </c>
      <c r="P43" s="214">
        <v>303</v>
      </c>
      <c r="Q43" s="214">
        <v>253.5</v>
      </c>
      <c r="R43" s="214">
        <v>225</v>
      </c>
      <c r="S43" s="214">
        <v>187.4</v>
      </c>
      <c r="T43" s="214">
        <v>0</v>
      </c>
      <c r="U43" s="214">
        <v>325.2</v>
      </c>
      <c r="V43" s="214">
        <v>402.3</v>
      </c>
      <c r="W43" s="214">
        <v>402.3</v>
      </c>
      <c r="X43" s="214">
        <v>0</v>
      </c>
      <c r="Y43" s="214">
        <v>71.7</v>
      </c>
      <c r="Z43" s="214">
        <v>264.60000000000002</v>
      </c>
      <c r="AA43" s="214">
        <v>440.9</v>
      </c>
      <c r="AB43" s="214">
        <v>507.1</v>
      </c>
      <c r="AC43" s="214">
        <v>507.1</v>
      </c>
      <c r="AD43" s="214">
        <v>507.1</v>
      </c>
      <c r="AE43" s="214">
        <v>474</v>
      </c>
      <c r="AF43" s="214">
        <v>463</v>
      </c>
      <c r="AG43" s="214">
        <v>369.3</v>
      </c>
      <c r="AH43" s="214">
        <v>275.60000000000002</v>
      </c>
      <c r="AI43" s="214">
        <v>254.6</v>
      </c>
      <c r="AJ43" s="214">
        <v>253.5</v>
      </c>
      <c r="AK43" s="214">
        <v>192.9</v>
      </c>
      <c r="AL43" s="214">
        <v>0</v>
      </c>
    </row>
    <row r="44" spans="1:38" x14ac:dyDescent="0.25">
      <c r="A44" s="214" t="s">
        <v>351</v>
      </c>
      <c r="B44" s="214">
        <v>0</v>
      </c>
      <c r="C44" s="214">
        <v>203.9</v>
      </c>
      <c r="D44" s="214">
        <v>0</v>
      </c>
      <c r="E44" s="214">
        <v>567.70000000000005</v>
      </c>
      <c r="F44" s="214">
        <v>711</v>
      </c>
      <c r="G44" s="214">
        <v>771.6</v>
      </c>
      <c r="H44" s="214">
        <v>832.2</v>
      </c>
      <c r="I44" s="214">
        <v>832.2</v>
      </c>
      <c r="J44" s="214">
        <v>756.2</v>
      </c>
      <c r="K44" s="214">
        <v>733</v>
      </c>
      <c r="L44" s="214">
        <v>723.1</v>
      </c>
      <c r="M44" s="214">
        <v>716.5</v>
      </c>
      <c r="N44" s="214">
        <v>584.20000000000005</v>
      </c>
      <c r="O44" s="214">
        <v>573.20000000000005</v>
      </c>
      <c r="P44" s="214">
        <v>540.1</v>
      </c>
      <c r="Q44" s="214">
        <v>440.7</v>
      </c>
      <c r="R44" s="214">
        <v>380.3</v>
      </c>
      <c r="S44" s="214">
        <v>275.60000000000002</v>
      </c>
      <c r="T44" s="214">
        <v>0</v>
      </c>
      <c r="U44" s="214">
        <v>523.6</v>
      </c>
      <c r="V44" s="214">
        <v>700</v>
      </c>
      <c r="W44" s="214">
        <v>722</v>
      </c>
      <c r="X44" s="214">
        <v>0</v>
      </c>
      <c r="Y44" s="214">
        <v>170.9</v>
      </c>
      <c r="Z44" s="214">
        <v>374.8</v>
      </c>
      <c r="AA44" s="214">
        <v>777.1</v>
      </c>
      <c r="AB44" s="214">
        <v>777.1</v>
      </c>
      <c r="AC44" s="214">
        <v>705.5</v>
      </c>
      <c r="AD44" s="214">
        <v>683.4</v>
      </c>
      <c r="AE44" s="214">
        <v>683.4</v>
      </c>
      <c r="AF44" s="214">
        <v>683.4</v>
      </c>
      <c r="AG44" s="214">
        <v>580</v>
      </c>
      <c r="AH44" s="214">
        <v>580</v>
      </c>
      <c r="AI44" s="214">
        <v>485</v>
      </c>
      <c r="AJ44" s="214">
        <v>397.9</v>
      </c>
      <c r="AK44" s="214">
        <v>397.9</v>
      </c>
      <c r="AL44" s="214">
        <v>0</v>
      </c>
    </row>
    <row r="45" spans="1:38" x14ac:dyDescent="0.25">
      <c r="A45" s="214" t="s">
        <v>352</v>
      </c>
      <c r="B45" s="214">
        <v>0</v>
      </c>
      <c r="C45" s="214">
        <v>385.8</v>
      </c>
      <c r="D45" s="214">
        <v>0</v>
      </c>
      <c r="E45" s="214">
        <v>1361.4</v>
      </c>
      <c r="F45" s="214">
        <v>1763.7</v>
      </c>
      <c r="G45" s="214">
        <v>1984.2</v>
      </c>
      <c r="H45" s="214">
        <v>2144</v>
      </c>
      <c r="I45" s="214">
        <v>2144</v>
      </c>
      <c r="J45" s="214">
        <v>1984.2</v>
      </c>
      <c r="K45" s="214">
        <v>1984.2</v>
      </c>
      <c r="L45" s="214">
        <v>1984.2</v>
      </c>
      <c r="M45" s="214">
        <v>1829.8</v>
      </c>
      <c r="N45" s="214">
        <v>1493.6</v>
      </c>
      <c r="O45" s="214">
        <v>1339.3</v>
      </c>
      <c r="P45" s="214">
        <v>1207</v>
      </c>
      <c r="Q45" s="214">
        <v>1014</v>
      </c>
      <c r="R45" s="214">
        <v>920.4</v>
      </c>
      <c r="S45" s="214">
        <v>606.29999999999995</v>
      </c>
      <c r="T45" s="214">
        <v>0</v>
      </c>
      <c r="U45" s="214">
        <v>1251.0999999999999</v>
      </c>
      <c r="V45" s="214">
        <v>1620.4</v>
      </c>
      <c r="W45" s="214">
        <v>1747.2</v>
      </c>
      <c r="X45" s="214">
        <v>0</v>
      </c>
      <c r="Y45" s="214">
        <v>308.60000000000002</v>
      </c>
      <c r="Z45" s="214">
        <v>1014.1</v>
      </c>
      <c r="AA45" s="214">
        <v>1851.9</v>
      </c>
      <c r="AB45" s="214">
        <v>1851.9</v>
      </c>
      <c r="AC45" s="214">
        <v>1829.8</v>
      </c>
      <c r="AD45" s="214">
        <v>1829.8</v>
      </c>
      <c r="AE45" s="214">
        <v>1829.8</v>
      </c>
      <c r="AF45" s="214">
        <v>1829.8</v>
      </c>
      <c r="AG45" s="214">
        <v>1350.3</v>
      </c>
      <c r="AH45" s="214">
        <v>1224.7</v>
      </c>
      <c r="AI45" s="214">
        <v>1124.4000000000001</v>
      </c>
      <c r="AJ45" s="214">
        <v>920.4</v>
      </c>
      <c r="AK45" s="214">
        <v>892.9</v>
      </c>
      <c r="AL45" s="214">
        <v>0</v>
      </c>
    </row>
    <row r="46" spans="1:38" x14ac:dyDescent="0.25">
      <c r="A46" s="214" t="s">
        <v>353</v>
      </c>
      <c r="B46" s="214">
        <v>0</v>
      </c>
      <c r="C46" s="214">
        <v>0</v>
      </c>
      <c r="D46" s="214">
        <v>0</v>
      </c>
      <c r="E46" s="214">
        <v>611.79999999999995</v>
      </c>
      <c r="F46" s="214">
        <v>727.5</v>
      </c>
      <c r="G46" s="214">
        <v>744.1</v>
      </c>
      <c r="H46" s="214">
        <v>782.6</v>
      </c>
      <c r="I46" s="214">
        <v>843.3</v>
      </c>
      <c r="J46" s="214">
        <v>782.6</v>
      </c>
      <c r="K46" s="214">
        <v>782.6</v>
      </c>
      <c r="L46" s="214">
        <v>760.6</v>
      </c>
      <c r="M46" s="214">
        <v>705.5</v>
      </c>
      <c r="N46" s="214">
        <v>650.4</v>
      </c>
      <c r="O46" s="214">
        <v>551.20000000000005</v>
      </c>
      <c r="P46" s="214">
        <v>479.5</v>
      </c>
      <c r="Q46" s="214">
        <v>374.8</v>
      </c>
      <c r="R46" s="214">
        <v>253.5</v>
      </c>
      <c r="S46" s="214">
        <v>0</v>
      </c>
      <c r="T46" s="214">
        <v>0</v>
      </c>
      <c r="U46" s="214">
        <v>529.1</v>
      </c>
      <c r="V46" s="214">
        <v>617.29999999999995</v>
      </c>
      <c r="W46" s="214">
        <v>628.29999999999995</v>
      </c>
      <c r="X46" s="214">
        <v>0</v>
      </c>
      <c r="Y46" s="214">
        <v>0</v>
      </c>
      <c r="Z46" s="214">
        <v>308.60000000000002</v>
      </c>
      <c r="AA46" s="214">
        <v>688.9</v>
      </c>
      <c r="AB46" s="214">
        <v>730.8</v>
      </c>
      <c r="AC46" s="214">
        <v>644.9</v>
      </c>
      <c r="AD46" s="214">
        <v>606.29999999999995</v>
      </c>
      <c r="AE46" s="214">
        <v>606.29999999999995</v>
      </c>
      <c r="AF46" s="214">
        <v>606.29999999999995</v>
      </c>
      <c r="AG46" s="214">
        <v>518.1</v>
      </c>
      <c r="AH46" s="214">
        <v>429.9</v>
      </c>
      <c r="AI46" s="214">
        <v>396.8</v>
      </c>
      <c r="AJ46" s="214">
        <v>281.10000000000002</v>
      </c>
      <c r="AK46" s="214">
        <v>231.5</v>
      </c>
      <c r="AL46" s="214">
        <v>0</v>
      </c>
    </row>
    <row r="47" spans="1:38" x14ac:dyDescent="0.25">
      <c r="A47" s="214" t="s">
        <v>354</v>
      </c>
      <c r="B47" s="214">
        <v>0</v>
      </c>
      <c r="C47" s="214">
        <v>0</v>
      </c>
      <c r="D47" s="214">
        <v>0</v>
      </c>
      <c r="E47" s="214">
        <v>402.3</v>
      </c>
      <c r="F47" s="214">
        <v>457.5</v>
      </c>
      <c r="G47" s="214">
        <v>534.6</v>
      </c>
      <c r="H47" s="214">
        <v>628.29999999999995</v>
      </c>
      <c r="I47" s="214">
        <v>713.2</v>
      </c>
      <c r="J47" s="214">
        <v>535.70000000000005</v>
      </c>
      <c r="K47" s="214">
        <v>535.70000000000005</v>
      </c>
      <c r="L47" s="214">
        <v>534.6</v>
      </c>
      <c r="M47" s="214">
        <v>534.6</v>
      </c>
      <c r="N47" s="214">
        <v>501.6</v>
      </c>
      <c r="O47" s="214">
        <v>415</v>
      </c>
      <c r="P47" s="214">
        <v>385.8</v>
      </c>
      <c r="Q47" s="214">
        <v>325.2</v>
      </c>
      <c r="R47" s="214">
        <v>220.5</v>
      </c>
      <c r="S47" s="214">
        <v>0</v>
      </c>
      <c r="T47" s="214">
        <v>0</v>
      </c>
      <c r="U47" s="214">
        <v>325.2</v>
      </c>
      <c r="V47" s="214">
        <v>380.3</v>
      </c>
      <c r="W47" s="214">
        <v>413.4</v>
      </c>
      <c r="X47" s="214">
        <v>0</v>
      </c>
      <c r="Y47" s="214">
        <v>0</v>
      </c>
      <c r="Z47" s="214">
        <v>242.5</v>
      </c>
      <c r="AA47" s="214">
        <v>474</v>
      </c>
      <c r="AB47" s="214">
        <v>525.79999999999995</v>
      </c>
      <c r="AC47" s="214">
        <v>512.6</v>
      </c>
      <c r="AD47" s="214">
        <v>512.6</v>
      </c>
      <c r="AE47" s="214">
        <v>407.9</v>
      </c>
      <c r="AF47" s="214">
        <v>374.8</v>
      </c>
      <c r="AG47" s="214">
        <v>348.3</v>
      </c>
      <c r="AH47" s="214">
        <v>337.3</v>
      </c>
      <c r="AI47" s="214">
        <v>264.60000000000002</v>
      </c>
      <c r="AJ47" s="214">
        <v>237</v>
      </c>
      <c r="AK47" s="214">
        <v>226</v>
      </c>
      <c r="AL47" s="214">
        <v>0</v>
      </c>
    </row>
    <row r="48" spans="1:38" x14ac:dyDescent="0.25">
      <c r="A48" s="214" t="s">
        <v>355</v>
      </c>
      <c r="B48" s="214">
        <v>0</v>
      </c>
      <c r="C48" s="214">
        <v>0</v>
      </c>
      <c r="D48" s="214">
        <v>0</v>
      </c>
      <c r="E48" s="214">
        <v>578.70000000000005</v>
      </c>
      <c r="F48" s="214">
        <v>661.4</v>
      </c>
      <c r="G48" s="214">
        <v>710</v>
      </c>
      <c r="H48" s="214">
        <v>755</v>
      </c>
      <c r="I48" s="214">
        <v>832.2</v>
      </c>
      <c r="J48" s="214">
        <v>738.5</v>
      </c>
      <c r="K48" s="214">
        <v>733</v>
      </c>
      <c r="L48" s="214">
        <v>694.5</v>
      </c>
      <c r="M48" s="214">
        <v>694.5</v>
      </c>
      <c r="N48" s="214">
        <v>694.5</v>
      </c>
      <c r="O48" s="214">
        <v>573.20000000000005</v>
      </c>
      <c r="P48" s="214">
        <v>557.79999999999995</v>
      </c>
      <c r="Q48" s="214">
        <v>485</v>
      </c>
      <c r="R48" s="214">
        <v>325.2</v>
      </c>
      <c r="S48" s="214">
        <v>0</v>
      </c>
      <c r="T48" s="214">
        <v>0</v>
      </c>
      <c r="U48" s="214">
        <v>540.1</v>
      </c>
      <c r="V48" s="214">
        <v>633.79999999999995</v>
      </c>
      <c r="W48" s="214">
        <v>716.5</v>
      </c>
      <c r="X48" s="214">
        <v>0</v>
      </c>
      <c r="Y48" s="214">
        <v>0</v>
      </c>
      <c r="Z48" s="214">
        <v>347.2</v>
      </c>
      <c r="AA48" s="214">
        <v>766.1</v>
      </c>
      <c r="AB48" s="214">
        <v>810.2</v>
      </c>
      <c r="AC48" s="214">
        <v>694.5</v>
      </c>
      <c r="AD48" s="214">
        <v>650.4</v>
      </c>
      <c r="AE48" s="214">
        <v>650.4</v>
      </c>
      <c r="AF48" s="214">
        <v>650.4</v>
      </c>
      <c r="AG48" s="214">
        <v>611.79999999999995</v>
      </c>
      <c r="AH48" s="214">
        <v>508.2</v>
      </c>
      <c r="AI48" s="214">
        <v>463</v>
      </c>
      <c r="AJ48" s="214">
        <v>440.9</v>
      </c>
      <c r="AK48" s="214">
        <v>336.2</v>
      </c>
      <c r="AL48" s="214">
        <v>0</v>
      </c>
    </row>
    <row r="49" spans="1:38" x14ac:dyDescent="0.25">
      <c r="A49" s="214" t="s">
        <v>356</v>
      </c>
      <c r="B49" s="214">
        <v>0</v>
      </c>
      <c r="C49" s="214">
        <v>0</v>
      </c>
      <c r="D49" s="214">
        <v>0</v>
      </c>
      <c r="E49" s="214">
        <v>1504.7</v>
      </c>
      <c r="F49" s="214">
        <v>1686.5</v>
      </c>
      <c r="G49" s="214">
        <v>1901.5</v>
      </c>
      <c r="H49" s="214">
        <v>2000.7</v>
      </c>
      <c r="I49" s="214">
        <v>2173.8000000000002</v>
      </c>
      <c r="J49" s="214">
        <v>2017.2</v>
      </c>
      <c r="K49" s="214">
        <v>2017.2</v>
      </c>
      <c r="L49" s="214">
        <v>1843.1</v>
      </c>
      <c r="M49" s="214">
        <v>1813.3</v>
      </c>
      <c r="N49" s="214">
        <v>1697.6</v>
      </c>
      <c r="O49" s="214">
        <v>1390</v>
      </c>
      <c r="P49" s="214">
        <v>1350.3</v>
      </c>
      <c r="Q49" s="214">
        <v>1107.8</v>
      </c>
      <c r="R49" s="214">
        <v>799.2</v>
      </c>
      <c r="S49" s="214">
        <v>0</v>
      </c>
      <c r="T49" s="214">
        <v>0</v>
      </c>
      <c r="U49" s="214">
        <v>1394.4</v>
      </c>
      <c r="V49" s="214">
        <v>1620.4</v>
      </c>
      <c r="W49" s="214">
        <v>1752.7</v>
      </c>
      <c r="X49" s="214">
        <v>0</v>
      </c>
      <c r="Y49" s="214">
        <v>0</v>
      </c>
      <c r="Z49" s="214">
        <v>898.4</v>
      </c>
      <c r="AA49" s="214">
        <v>1857.4</v>
      </c>
      <c r="AB49" s="214">
        <v>1962.1</v>
      </c>
      <c r="AC49" s="214">
        <v>1704.2</v>
      </c>
      <c r="AD49" s="214">
        <v>1642.4</v>
      </c>
      <c r="AE49" s="214">
        <v>1576.3</v>
      </c>
      <c r="AF49" s="214">
        <v>1570.8</v>
      </c>
      <c r="AG49" s="214">
        <v>1322.8</v>
      </c>
      <c r="AH49" s="214">
        <v>1275.4000000000001</v>
      </c>
      <c r="AI49" s="214">
        <v>1113.3</v>
      </c>
      <c r="AJ49" s="214">
        <v>959</v>
      </c>
      <c r="AK49" s="214">
        <v>793.7</v>
      </c>
      <c r="AL49" s="214">
        <v>0</v>
      </c>
    </row>
    <row r="50" spans="1:38" x14ac:dyDescent="0.25">
      <c r="A50" s="214" t="s">
        <v>357</v>
      </c>
      <c r="B50" s="214">
        <v>0</v>
      </c>
      <c r="C50" s="214">
        <v>0</v>
      </c>
      <c r="D50" s="214">
        <v>0</v>
      </c>
      <c r="E50" s="214">
        <v>622.79999999999995</v>
      </c>
      <c r="F50" s="214">
        <v>793.7</v>
      </c>
      <c r="G50" s="214">
        <v>805.8</v>
      </c>
      <c r="H50" s="214">
        <v>892.9</v>
      </c>
      <c r="I50" s="214">
        <v>910.5</v>
      </c>
      <c r="J50" s="214">
        <v>910.5</v>
      </c>
      <c r="K50" s="214">
        <v>909.4</v>
      </c>
      <c r="L50" s="214">
        <v>771.6</v>
      </c>
      <c r="M50" s="214">
        <v>700</v>
      </c>
      <c r="N50" s="214">
        <v>589.70000000000005</v>
      </c>
      <c r="O50" s="214">
        <v>545.6</v>
      </c>
      <c r="P50" s="214">
        <v>451.9</v>
      </c>
      <c r="Q50" s="214">
        <v>0</v>
      </c>
      <c r="R50" s="214">
        <v>0</v>
      </c>
      <c r="S50" s="214">
        <v>0</v>
      </c>
      <c r="T50" s="214">
        <v>0</v>
      </c>
      <c r="U50" s="214">
        <v>507.1</v>
      </c>
      <c r="V50" s="214">
        <v>617.29999999999995</v>
      </c>
      <c r="W50" s="214">
        <v>700</v>
      </c>
      <c r="X50" s="214">
        <v>0</v>
      </c>
      <c r="Y50" s="214">
        <v>0</v>
      </c>
      <c r="Z50" s="214">
        <v>330.7</v>
      </c>
      <c r="AA50" s="214">
        <v>821.2</v>
      </c>
      <c r="AB50" s="214">
        <v>851</v>
      </c>
      <c r="AC50" s="214">
        <v>834.4</v>
      </c>
      <c r="AD50" s="214">
        <v>834.4</v>
      </c>
      <c r="AE50" s="214">
        <v>834.4</v>
      </c>
      <c r="AF50" s="214">
        <v>606.29999999999995</v>
      </c>
      <c r="AG50" s="214">
        <v>512.6</v>
      </c>
      <c r="AH50" s="214">
        <v>512.6</v>
      </c>
      <c r="AI50" s="214">
        <v>413.4</v>
      </c>
      <c r="AJ50" s="214">
        <v>203.9</v>
      </c>
      <c r="AK50" s="214">
        <v>0</v>
      </c>
      <c r="AL50" s="214">
        <v>0</v>
      </c>
    </row>
    <row r="51" spans="1:38" x14ac:dyDescent="0.25">
      <c r="A51" s="214" t="s">
        <v>358</v>
      </c>
      <c r="B51" s="214">
        <v>0</v>
      </c>
      <c r="C51" s="214">
        <v>0</v>
      </c>
      <c r="D51" s="214">
        <v>0</v>
      </c>
      <c r="E51" s="214">
        <v>358.3</v>
      </c>
      <c r="F51" s="214">
        <v>540.1</v>
      </c>
      <c r="G51" s="214">
        <v>622.79999999999995</v>
      </c>
      <c r="H51" s="214">
        <v>650.4</v>
      </c>
      <c r="I51" s="214">
        <v>705.5</v>
      </c>
      <c r="J51" s="214">
        <v>688.9</v>
      </c>
      <c r="K51" s="214">
        <v>578.70000000000005</v>
      </c>
      <c r="L51" s="214">
        <v>578.70000000000005</v>
      </c>
      <c r="M51" s="214">
        <v>534.6</v>
      </c>
      <c r="N51" s="214">
        <v>429.9</v>
      </c>
      <c r="O51" s="214">
        <v>413.4</v>
      </c>
      <c r="P51" s="214">
        <v>363.8</v>
      </c>
      <c r="Q51" s="214">
        <v>0</v>
      </c>
      <c r="R51" s="214">
        <v>0</v>
      </c>
      <c r="S51" s="214">
        <v>0</v>
      </c>
      <c r="T51" s="214">
        <v>0</v>
      </c>
      <c r="U51" s="214">
        <v>319.7</v>
      </c>
      <c r="V51" s="214">
        <v>402.3</v>
      </c>
      <c r="W51" s="214">
        <v>451.9</v>
      </c>
      <c r="X51" s="214">
        <v>0</v>
      </c>
      <c r="Y51" s="214">
        <v>0</v>
      </c>
      <c r="Z51" s="214">
        <v>165.3</v>
      </c>
      <c r="AA51" s="214">
        <v>534.6</v>
      </c>
      <c r="AB51" s="214">
        <v>557.79999999999995</v>
      </c>
      <c r="AC51" s="214">
        <v>485</v>
      </c>
      <c r="AD51" s="214">
        <v>451.9</v>
      </c>
      <c r="AE51" s="214">
        <v>435.4</v>
      </c>
      <c r="AF51" s="214">
        <v>407.9</v>
      </c>
      <c r="AG51" s="214">
        <v>385.8</v>
      </c>
      <c r="AH51" s="214">
        <v>352.7</v>
      </c>
      <c r="AI51" s="214">
        <v>325.2</v>
      </c>
      <c r="AJ51" s="214">
        <v>242.5</v>
      </c>
      <c r="AK51" s="214">
        <v>0</v>
      </c>
      <c r="AL51" s="214">
        <v>0</v>
      </c>
    </row>
    <row r="52" spans="1:38" x14ac:dyDescent="0.25">
      <c r="A52" s="214" t="s">
        <v>359</v>
      </c>
      <c r="B52" s="214">
        <v>0</v>
      </c>
      <c r="C52" s="214">
        <v>0</v>
      </c>
      <c r="D52" s="214">
        <v>0</v>
      </c>
      <c r="E52" s="214">
        <v>573.20000000000005</v>
      </c>
      <c r="F52" s="214">
        <v>677.9</v>
      </c>
      <c r="G52" s="214">
        <v>727.5</v>
      </c>
      <c r="H52" s="214">
        <v>804.7</v>
      </c>
      <c r="I52" s="214">
        <v>821.2</v>
      </c>
      <c r="J52" s="214">
        <v>783.7</v>
      </c>
      <c r="K52" s="214">
        <v>733</v>
      </c>
      <c r="L52" s="214">
        <v>716.5</v>
      </c>
      <c r="M52" s="214">
        <v>705.5</v>
      </c>
      <c r="N52" s="214">
        <v>705.5</v>
      </c>
      <c r="O52" s="214">
        <v>620.6</v>
      </c>
      <c r="P52" s="214">
        <v>573.20000000000005</v>
      </c>
      <c r="Q52" s="214">
        <v>0</v>
      </c>
      <c r="R52" s="214">
        <v>0</v>
      </c>
      <c r="S52" s="214">
        <v>0</v>
      </c>
      <c r="T52" s="214">
        <v>0</v>
      </c>
      <c r="U52" s="214">
        <v>562.20000000000005</v>
      </c>
      <c r="V52" s="214">
        <v>622.79999999999995</v>
      </c>
      <c r="W52" s="214">
        <v>675</v>
      </c>
      <c r="X52" s="214">
        <v>0</v>
      </c>
      <c r="Y52" s="214">
        <v>0</v>
      </c>
      <c r="Z52" s="214">
        <v>341.7</v>
      </c>
      <c r="AA52" s="214">
        <v>804.7</v>
      </c>
      <c r="AB52" s="214">
        <v>820.1</v>
      </c>
      <c r="AC52" s="214">
        <v>820.1</v>
      </c>
      <c r="AD52" s="214">
        <v>820.1</v>
      </c>
      <c r="AE52" s="214">
        <v>755.1</v>
      </c>
      <c r="AF52" s="214">
        <v>644.9</v>
      </c>
      <c r="AG52" s="214">
        <v>617.29999999999995</v>
      </c>
      <c r="AH52" s="214">
        <v>617.29999999999995</v>
      </c>
      <c r="AI52" s="214">
        <v>507.1</v>
      </c>
      <c r="AJ52" s="214">
        <v>325.2</v>
      </c>
      <c r="AK52" s="214">
        <v>0</v>
      </c>
      <c r="AL52" s="214">
        <v>0</v>
      </c>
    </row>
    <row r="53" spans="1:38" x14ac:dyDescent="0.25">
      <c r="A53" s="214" t="s">
        <v>360</v>
      </c>
      <c r="B53" s="214">
        <v>0</v>
      </c>
      <c r="C53" s="214">
        <v>0</v>
      </c>
      <c r="D53" s="214">
        <v>0</v>
      </c>
      <c r="E53" s="214">
        <v>1521.2</v>
      </c>
      <c r="F53" s="214">
        <v>1923.5</v>
      </c>
      <c r="G53" s="214">
        <v>2095.5</v>
      </c>
      <c r="H53" s="214">
        <v>2281.8000000000002</v>
      </c>
      <c r="I53" s="214">
        <v>2298.3000000000002</v>
      </c>
      <c r="J53" s="214">
        <v>2238.8000000000002</v>
      </c>
      <c r="K53" s="214">
        <v>2110.9</v>
      </c>
      <c r="L53" s="214">
        <v>2083.4</v>
      </c>
      <c r="M53" s="214">
        <v>1813.3</v>
      </c>
      <c r="N53" s="214">
        <v>1581.8</v>
      </c>
      <c r="O53" s="214">
        <v>1556.5</v>
      </c>
      <c r="P53" s="214">
        <v>1372.4</v>
      </c>
      <c r="Q53" s="214">
        <v>0</v>
      </c>
      <c r="R53" s="214">
        <v>0</v>
      </c>
      <c r="S53" s="214">
        <v>0</v>
      </c>
      <c r="T53" s="214">
        <v>0</v>
      </c>
      <c r="U53" s="214">
        <v>1290.8</v>
      </c>
      <c r="V53" s="214">
        <v>1614.9</v>
      </c>
      <c r="W53" s="214">
        <v>1774.7</v>
      </c>
      <c r="X53" s="214">
        <v>0</v>
      </c>
      <c r="Y53" s="214">
        <v>0</v>
      </c>
      <c r="Z53" s="214">
        <v>837.8</v>
      </c>
      <c r="AA53" s="214">
        <v>1962.1</v>
      </c>
      <c r="AB53" s="214">
        <v>2157.1999999999998</v>
      </c>
      <c r="AC53" s="214">
        <v>2082.3000000000002</v>
      </c>
      <c r="AD53" s="214">
        <v>2082.3000000000002</v>
      </c>
      <c r="AE53" s="214">
        <v>1973.1</v>
      </c>
      <c r="AF53" s="214">
        <v>1587.3</v>
      </c>
      <c r="AG53" s="214">
        <v>1411</v>
      </c>
      <c r="AH53" s="214">
        <v>1411</v>
      </c>
      <c r="AI53" s="214">
        <v>1157.4000000000001</v>
      </c>
      <c r="AJ53" s="214">
        <v>738.5</v>
      </c>
      <c r="AK53" s="214">
        <v>0</v>
      </c>
      <c r="AL53" s="214">
        <v>0</v>
      </c>
    </row>
    <row r="54" spans="1:38" x14ac:dyDescent="0.25">
      <c r="A54" s="214" t="s">
        <v>361</v>
      </c>
      <c r="B54" s="214">
        <v>0</v>
      </c>
      <c r="C54" s="214">
        <v>0</v>
      </c>
      <c r="D54" s="214">
        <v>0</v>
      </c>
      <c r="E54" s="214">
        <v>639.29999999999995</v>
      </c>
      <c r="F54" s="214">
        <v>804.7</v>
      </c>
      <c r="G54" s="214">
        <v>936.5</v>
      </c>
      <c r="H54" s="214">
        <v>936.5</v>
      </c>
      <c r="I54" s="214">
        <v>1113.3</v>
      </c>
      <c r="J54" s="214">
        <v>950</v>
      </c>
      <c r="K54" s="214">
        <v>950</v>
      </c>
      <c r="L54" s="214">
        <v>887.4</v>
      </c>
      <c r="M54" s="214">
        <v>705.5</v>
      </c>
      <c r="N54" s="214">
        <v>683.4</v>
      </c>
      <c r="O54" s="214">
        <v>600.79999999999995</v>
      </c>
      <c r="P54" s="214">
        <v>463</v>
      </c>
      <c r="Q54" s="214">
        <v>203.9</v>
      </c>
      <c r="R54" s="214">
        <v>0</v>
      </c>
      <c r="S54" s="214">
        <v>0</v>
      </c>
      <c r="T54" s="214">
        <v>0</v>
      </c>
      <c r="U54" s="214">
        <v>727.5</v>
      </c>
      <c r="V54" s="214">
        <v>805.8</v>
      </c>
      <c r="W54" s="214">
        <v>938.1</v>
      </c>
      <c r="X54" s="214">
        <v>0</v>
      </c>
      <c r="Y54" s="214">
        <v>435.4</v>
      </c>
      <c r="Z54" s="214">
        <v>435.4</v>
      </c>
      <c r="AA54" s="214">
        <v>938.1</v>
      </c>
      <c r="AB54" s="214">
        <v>1069.2</v>
      </c>
      <c r="AC54" s="214">
        <v>749.6</v>
      </c>
      <c r="AD54" s="214">
        <v>744.1</v>
      </c>
      <c r="AE54" s="214">
        <v>727.5</v>
      </c>
      <c r="AF54" s="214">
        <v>567.70000000000005</v>
      </c>
      <c r="AG54" s="214">
        <v>502.7</v>
      </c>
      <c r="AH54" s="214">
        <v>418.9</v>
      </c>
      <c r="AI54" s="214">
        <v>402.3</v>
      </c>
      <c r="AJ54" s="214">
        <v>203.9</v>
      </c>
      <c r="AK54" s="214">
        <v>181.9</v>
      </c>
      <c r="AL54" s="214">
        <v>0</v>
      </c>
    </row>
    <row r="55" spans="1:38" x14ac:dyDescent="0.25">
      <c r="A55" s="214" t="s">
        <v>362</v>
      </c>
      <c r="B55" s="214">
        <v>0</v>
      </c>
      <c r="C55" s="214">
        <v>0</v>
      </c>
      <c r="D55" s="214">
        <v>0</v>
      </c>
      <c r="E55" s="214">
        <v>385.8</v>
      </c>
      <c r="F55" s="214">
        <v>573.20000000000005</v>
      </c>
      <c r="G55" s="214">
        <v>600.79999999999995</v>
      </c>
      <c r="H55" s="214">
        <v>771.6</v>
      </c>
      <c r="I55" s="214">
        <v>903.9</v>
      </c>
      <c r="J55" s="214">
        <v>771.6</v>
      </c>
      <c r="K55" s="214">
        <v>655.9</v>
      </c>
      <c r="L55" s="214">
        <v>644.9</v>
      </c>
      <c r="M55" s="214">
        <v>644.9</v>
      </c>
      <c r="N55" s="214">
        <v>518.1</v>
      </c>
      <c r="O55" s="214">
        <v>429.9</v>
      </c>
      <c r="P55" s="214">
        <v>341.7</v>
      </c>
      <c r="Q55" s="214">
        <v>220.5</v>
      </c>
      <c r="R55" s="214">
        <v>0</v>
      </c>
      <c r="S55" s="214">
        <v>0</v>
      </c>
      <c r="T55" s="214">
        <v>0</v>
      </c>
      <c r="U55" s="214">
        <v>385.8</v>
      </c>
      <c r="V55" s="214">
        <v>418.9</v>
      </c>
      <c r="W55" s="214">
        <v>457.5</v>
      </c>
      <c r="X55" s="214">
        <v>0</v>
      </c>
      <c r="Y55" s="214">
        <v>297.60000000000002</v>
      </c>
      <c r="Z55" s="214">
        <v>297.60000000000002</v>
      </c>
      <c r="AA55" s="214">
        <v>518.1</v>
      </c>
      <c r="AB55" s="214">
        <v>585.29999999999995</v>
      </c>
      <c r="AC55" s="214">
        <v>573.20000000000005</v>
      </c>
      <c r="AD55" s="214">
        <v>540.1</v>
      </c>
      <c r="AE55" s="214">
        <v>512.6</v>
      </c>
      <c r="AF55" s="214">
        <v>418.9</v>
      </c>
      <c r="AG55" s="214">
        <v>405</v>
      </c>
      <c r="AH55" s="214">
        <v>319.7</v>
      </c>
      <c r="AI55" s="214">
        <v>319.7</v>
      </c>
      <c r="AJ55" s="214">
        <v>220.5</v>
      </c>
      <c r="AK55" s="214">
        <v>170.9</v>
      </c>
      <c r="AL55" s="214">
        <v>0</v>
      </c>
    </row>
    <row r="56" spans="1:38" x14ac:dyDescent="0.25">
      <c r="A56" s="214" t="s">
        <v>363</v>
      </c>
      <c r="B56" s="214">
        <v>0</v>
      </c>
      <c r="C56" s="214">
        <v>0</v>
      </c>
      <c r="D56" s="214">
        <v>0</v>
      </c>
      <c r="E56" s="214">
        <v>567.70000000000005</v>
      </c>
      <c r="F56" s="214">
        <v>705</v>
      </c>
      <c r="G56" s="214">
        <v>700</v>
      </c>
      <c r="H56" s="214">
        <v>804.7</v>
      </c>
      <c r="I56" s="214">
        <v>903.9</v>
      </c>
      <c r="J56" s="214">
        <v>881.8</v>
      </c>
      <c r="K56" s="214">
        <v>755.1</v>
      </c>
      <c r="L56" s="214">
        <v>705.5</v>
      </c>
      <c r="M56" s="214">
        <v>705.3</v>
      </c>
      <c r="N56" s="214">
        <v>639.29999999999995</v>
      </c>
      <c r="O56" s="214">
        <v>567.70000000000005</v>
      </c>
      <c r="P56" s="214">
        <v>418.9</v>
      </c>
      <c r="Q56" s="214">
        <v>314.2</v>
      </c>
      <c r="R56" s="214">
        <v>0</v>
      </c>
      <c r="S56" s="214">
        <v>0</v>
      </c>
      <c r="T56" s="214">
        <v>0</v>
      </c>
      <c r="U56" s="214">
        <v>589.70000000000005</v>
      </c>
      <c r="V56" s="214">
        <v>633.79999999999995</v>
      </c>
      <c r="W56" s="214">
        <v>674.6</v>
      </c>
      <c r="X56" s="214">
        <v>0</v>
      </c>
      <c r="Y56" s="214">
        <v>485</v>
      </c>
      <c r="Z56" s="214">
        <v>485</v>
      </c>
      <c r="AA56" s="214">
        <v>739.7</v>
      </c>
      <c r="AB56" s="214">
        <v>865.3</v>
      </c>
      <c r="AC56" s="214">
        <v>837.8</v>
      </c>
      <c r="AD56" s="214">
        <v>837.8</v>
      </c>
      <c r="AE56" s="214">
        <v>716.5</v>
      </c>
      <c r="AF56" s="214">
        <v>611.79999999999995</v>
      </c>
      <c r="AG56" s="214">
        <v>551.20000000000005</v>
      </c>
      <c r="AH56" s="214">
        <v>540.1</v>
      </c>
      <c r="AI56" s="214">
        <v>402.3</v>
      </c>
      <c r="AJ56" s="214">
        <v>314.2</v>
      </c>
      <c r="AK56" s="214">
        <v>253.5</v>
      </c>
      <c r="AL56" s="214">
        <v>0</v>
      </c>
    </row>
    <row r="57" spans="1:38" x14ac:dyDescent="0.25">
      <c r="A57" s="214" t="s">
        <v>364</v>
      </c>
      <c r="B57" s="214">
        <v>0</v>
      </c>
      <c r="C57" s="214">
        <v>0</v>
      </c>
      <c r="D57" s="214">
        <v>0</v>
      </c>
      <c r="E57" s="214">
        <v>1592.8</v>
      </c>
      <c r="F57" s="214">
        <v>2000.7</v>
      </c>
      <c r="G57" s="214">
        <v>2094.4</v>
      </c>
      <c r="H57" s="214">
        <v>2331.4</v>
      </c>
      <c r="I57" s="214">
        <v>2805.4</v>
      </c>
      <c r="J57" s="214">
        <v>2331.4</v>
      </c>
      <c r="K57" s="214">
        <v>2320.4</v>
      </c>
      <c r="L57" s="214">
        <v>2083.4</v>
      </c>
      <c r="M57" s="214">
        <v>1901.5</v>
      </c>
      <c r="N57" s="214">
        <v>1730.6</v>
      </c>
      <c r="O57" s="214">
        <v>1554.3</v>
      </c>
      <c r="P57" s="214">
        <v>1146.4000000000001</v>
      </c>
      <c r="Q57" s="214">
        <v>738.5</v>
      </c>
      <c r="R57" s="214">
        <v>0</v>
      </c>
      <c r="S57" s="214">
        <v>0</v>
      </c>
      <c r="T57" s="214">
        <v>0</v>
      </c>
      <c r="U57" s="214">
        <v>1592.8</v>
      </c>
      <c r="V57" s="214">
        <v>1742.8</v>
      </c>
      <c r="W57" s="214">
        <v>2029.4</v>
      </c>
      <c r="X57" s="214">
        <v>0</v>
      </c>
      <c r="Y57" s="214">
        <v>1218.0999999999999</v>
      </c>
      <c r="Z57" s="214">
        <v>1218.0999999999999</v>
      </c>
      <c r="AA57" s="214">
        <v>2055.8000000000002</v>
      </c>
      <c r="AB57" s="214">
        <v>2436.1</v>
      </c>
      <c r="AC57" s="214">
        <v>2066.8000000000002</v>
      </c>
      <c r="AD57" s="214">
        <v>2066.8000000000002</v>
      </c>
      <c r="AE57" s="214">
        <v>1913.6</v>
      </c>
      <c r="AF57" s="214">
        <v>1559.8</v>
      </c>
      <c r="AG57" s="214">
        <v>1372.4</v>
      </c>
      <c r="AH57" s="214">
        <v>1273.2</v>
      </c>
      <c r="AI57" s="214">
        <v>1124.4000000000001</v>
      </c>
      <c r="AJ57" s="214">
        <v>738.5</v>
      </c>
      <c r="AK57" s="214">
        <v>589.70000000000005</v>
      </c>
      <c r="AL57" s="214">
        <v>0</v>
      </c>
    </row>
    <row r="58" spans="1:38" x14ac:dyDescent="0.25">
      <c r="A58" s="214" t="s">
        <v>241</v>
      </c>
      <c r="B58" s="214">
        <v>0</v>
      </c>
      <c r="C58" s="214">
        <v>0</v>
      </c>
      <c r="D58" s="214">
        <v>0</v>
      </c>
      <c r="E58" s="214">
        <v>0</v>
      </c>
      <c r="F58" s="214">
        <v>0</v>
      </c>
      <c r="G58" s="214">
        <v>0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14">
        <v>0</v>
      </c>
      <c r="O58" s="214">
        <v>0</v>
      </c>
      <c r="P58" s="214">
        <v>0</v>
      </c>
      <c r="Q58" s="214">
        <v>0</v>
      </c>
      <c r="R58" s="214">
        <v>0</v>
      </c>
      <c r="S58" s="214">
        <v>0</v>
      </c>
      <c r="T58" s="214">
        <v>0</v>
      </c>
      <c r="U58" s="214">
        <v>0</v>
      </c>
      <c r="V58" s="214">
        <v>0</v>
      </c>
      <c r="W58" s="214">
        <v>0</v>
      </c>
      <c r="X58" s="214">
        <v>57.3</v>
      </c>
      <c r="Y58" s="214">
        <v>57.3</v>
      </c>
      <c r="Z58" s="214">
        <v>57.3</v>
      </c>
      <c r="AA58" s="214">
        <v>0</v>
      </c>
      <c r="AB58" s="214">
        <v>0</v>
      </c>
      <c r="AC58" s="214">
        <v>0</v>
      </c>
      <c r="AD58" s="214">
        <v>0</v>
      </c>
      <c r="AE58" s="214">
        <v>0</v>
      </c>
      <c r="AF58" s="214">
        <v>0</v>
      </c>
      <c r="AG58" s="214">
        <v>0</v>
      </c>
      <c r="AH58" s="214">
        <v>0</v>
      </c>
      <c r="AI58" s="214">
        <v>0</v>
      </c>
      <c r="AJ58" s="214">
        <v>0</v>
      </c>
      <c r="AK58" s="214">
        <v>0</v>
      </c>
      <c r="AL58" s="214">
        <v>0</v>
      </c>
    </row>
    <row r="59" spans="1:38" x14ac:dyDescent="0.25">
      <c r="A59" s="214" t="s">
        <v>696</v>
      </c>
      <c r="B59" s="214">
        <v>0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v>0</v>
      </c>
      <c r="S59" s="214">
        <v>0</v>
      </c>
      <c r="T59" s="214">
        <v>0</v>
      </c>
      <c r="U59" s="214">
        <v>0</v>
      </c>
      <c r="V59" s="214">
        <v>0</v>
      </c>
      <c r="W59" s="214">
        <v>0</v>
      </c>
      <c r="X59" s="214">
        <v>66.099999999999994</v>
      </c>
      <c r="Y59" s="214">
        <v>66.099999999999994</v>
      </c>
      <c r="Z59" s="214">
        <v>66.099999999999994</v>
      </c>
      <c r="AA59" s="214">
        <v>0</v>
      </c>
      <c r="AB59" s="214">
        <v>0</v>
      </c>
      <c r="AC59" s="214">
        <v>0</v>
      </c>
      <c r="AD59" s="214">
        <v>0</v>
      </c>
      <c r="AE59" s="214">
        <v>0</v>
      </c>
      <c r="AF59" s="214">
        <v>0</v>
      </c>
      <c r="AG59" s="214">
        <v>0</v>
      </c>
      <c r="AH59" s="214">
        <v>0</v>
      </c>
      <c r="AI59" s="214">
        <v>0</v>
      </c>
      <c r="AJ59" s="214">
        <v>0</v>
      </c>
      <c r="AK59" s="214">
        <v>0</v>
      </c>
      <c r="AL59" s="214">
        <v>0</v>
      </c>
    </row>
    <row r="60" spans="1:38" x14ac:dyDescent="0.25">
      <c r="A60" s="214" t="s">
        <v>695</v>
      </c>
      <c r="B60" s="214">
        <v>0</v>
      </c>
      <c r="C60" s="214">
        <v>0</v>
      </c>
      <c r="D60" s="214">
        <v>0</v>
      </c>
      <c r="E60" s="214">
        <v>0</v>
      </c>
      <c r="F60" s="214">
        <v>0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14">
        <v>0</v>
      </c>
      <c r="S60" s="214">
        <v>0</v>
      </c>
      <c r="T60" s="214">
        <v>0</v>
      </c>
      <c r="U60" s="214">
        <v>99.2</v>
      </c>
      <c r="V60" s="214">
        <v>99.2</v>
      </c>
      <c r="W60" s="214">
        <v>99.2</v>
      </c>
      <c r="X60" s="214">
        <v>0</v>
      </c>
      <c r="Y60" s="214">
        <v>99.2</v>
      </c>
      <c r="Z60" s="214">
        <v>110.2</v>
      </c>
      <c r="AA60" s="214">
        <v>99.2</v>
      </c>
      <c r="AB60" s="214">
        <v>99.2</v>
      </c>
      <c r="AC60" s="214">
        <v>0</v>
      </c>
      <c r="AD60" s="214">
        <v>0</v>
      </c>
      <c r="AE60" s="214">
        <v>0</v>
      </c>
      <c r="AF60" s="214">
        <v>0</v>
      </c>
      <c r="AG60" s="214">
        <v>0</v>
      </c>
      <c r="AH60" s="214">
        <v>0</v>
      </c>
      <c r="AI60" s="214">
        <v>0</v>
      </c>
      <c r="AJ60" s="214">
        <v>0</v>
      </c>
      <c r="AK60" s="214">
        <v>0</v>
      </c>
      <c r="AL60" s="214">
        <v>0</v>
      </c>
    </row>
    <row r="61" spans="1:38" x14ac:dyDescent="0.25">
      <c r="A61" s="214" t="s">
        <v>706</v>
      </c>
      <c r="B61" s="214">
        <v>0</v>
      </c>
      <c r="C61" s="214">
        <v>0</v>
      </c>
      <c r="D61" s="214">
        <v>0</v>
      </c>
      <c r="E61" s="214">
        <v>0</v>
      </c>
      <c r="F61" s="214">
        <v>0</v>
      </c>
      <c r="G61" s="214">
        <v>0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v>0</v>
      </c>
      <c r="S61" s="214">
        <v>0</v>
      </c>
      <c r="T61" s="214">
        <v>0</v>
      </c>
      <c r="U61" s="214">
        <v>0</v>
      </c>
      <c r="V61" s="214">
        <v>0</v>
      </c>
      <c r="W61" s="214">
        <v>0</v>
      </c>
      <c r="X61" s="214">
        <v>71.7</v>
      </c>
      <c r="Y61" s="214">
        <v>88.2</v>
      </c>
      <c r="Z61" s="214">
        <v>126.8</v>
      </c>
      <c r="AA61" s="214">
        <v>0</v>
      </c>
      <c r="AB61" s="214">
        <v>0</v>
      </c>
      <c r="AC61" s="214">
        <v>0</v>
      </c>
      <c r="AD61" s="214">
        <v>0</v>
      </c>
      <c r="AE61" s="214">
        <v>0</v>
      </c>
      <c r="AF61" s="214">
        <v>0</v>
      </c>
      <c r="AG61" s="214">
        <v>0</v>
      </c>
      <c r="AH61" s="214">
        <v>0</v>
      </c>
      <c r="AI61" s="214">
        <v>0</v>
      </c>
      <c r="AJ61" s="214">
        <v>0</v>
      </c>
      <c r="AK61" s="214">
        <v>0</v>
      </c>
      <c r="AL61" s="214">
        <v>0</v>
      </c>
    </row>
    <row r="62" spans="1:38" x14ac:dyDescent="0.25">
      <c r="A62" s="214" t="s">
        <v>245</v>
      </c>
      <c r="B62" s="214">
        <v>0</v>
      </c>
      <c r="C62" s="214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14">
        <v>0</v>
      </c>
      <c r="T62" s="214">
        <v>0</v>
      </c>
      <c r="U62" s="214">
        <v>126.8</v>
      </c>
      <c r="V62" s="214">
        <v>126.8</v>
      </c>
      <c r="W62" s="214">
        <v>126.8</v>
      </c>
      <c r="X62" s="214">
        <v>49.6</v>
      </c>
      <c r="Y62" s="214">
        <v>93.7</v>
      </c>
      <c r="Z62" s="214">
        <v>137.80000000000001</v>
      </c>
      <c r="AA62" s="214">
        <v>126.8</v>
      </c>
      <c r="AB62" s="214">
        <v>126.8</v>
      </c>
      <c r="AC62" s="214">
        <v>0</v>
      </c>
      <c r="AD62" s="214">
        <v>0</v>
      </c>
      <c r="AE62" s="214">
        <v>0</v>
      </c>
      <c r="AF62" s="214">
        <v>0</v>
      </c>
      <c r="AG62" s="214">
        <v>0</v>
      </c>
      <c r="AH62" s="214">
        <v>0</v>
      </c>
      <c r="AI62" s="214">
        <v>0</v>
      </c>
      <c r="AJ62" s="214">
        <v>0</v>
      </c>
      <c r="AK62" s="214">
        <v>0</v>
      </c>
      <c r="AL62" s="214">
        <v>0</v>
      </c>
    </row>
    <row r="63" spans="1:38" x14ac:dyDescent="0.25">
      <c r="A63" s="214" t="s">
        <v>365</v>
      </c>
      <c r="B63" s="214">
        <v>0</v>
      </c>
      <c r="C63" s="214">
        <v>78.3</v>
      </c>
      <c r="D63" s="214">
        <v>137.80000000000001</v>
      </c>
      <c r="E63" s="214">
        <v>215</v>
      </c>
      <c r="F63" s="214">
        <v>347.2</v>
      </c>
      <c r="G63" s="214">
        <v>347.2</v>
      </c>
      <c r="H63" s="214">
        <v>347.2</v>
      </c>
      <c r="I63" s="214">
        <v>319.7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0</v>
      </c>
      <c r="T63" s="214">
        <v>0</v>
      </c>
      <c r="U63" s="214">
        <v>181.9</v>
      </c>
      <c r="V63" s="214">
        <v>209.4</v>
      </c>
      <c r="W63" s="214">
        <v>253.5</v>
      </c>
      <c r="X63" s="214">
        <v>44.1</v>
      </c>
      <c r="Y63" s="214">
        <v>99.2</v>
      </c>
      <c r="Z63" s="214">
        <v>159.80000000000001</v>
      </c>
      <c r="AA63" s="214">
        <v>259</v>
      </c>
      <c r="AB63" s="214">
        <v>253.5</v>
      </c>
      <c r="AC63" s="214">
        <v>0</v>
      </c>
      <c r="AD63" s="214">
        <v>0</v>
      </c>
      <c r="AE63" s="214">
        <v>0</v>
      </c>
      <c r="AF63" s="214">
        <v>0</v>
      </c>
      <c r="AG63" s="214">
        <v>0</v>
      </c>
      <c r="AH63" s="214">
        <v>0</v>
      </c>
      <c r="AI63" s="214">
        <v>0</v>
      </c>
      <c r="AJ63" s="214">
        <v>0</v>
      </c>
      <c r="AK63" s="214">
        <v>0</v>
      </c>
      <c r="AL63" s="214">
        <v>0</v>
      </c>
    </row>
    <row r="64" spans="1:38" x14ac:dyDescent="0.25">
      <c r="A64" s="214" t="s">
        <v>366</v>
      </c>
      <c r="B64" s="214">
        <v>0</v>
      </c>
      <c r="C64" s="214">
        <v>0</v>
      </c>
      <c r="D64" s="214">
        <v>115.7</v>
      </c>
      <c r="E64" s="214">
        <v>275.60000000000002</v>
      </c>
      <c r="F64" s="214">
        <v>331.8</v>
      </c>
      <c r="G64" s="214">
        <v>331.8</v>
      </c>
      <c r="H64" s="214">
        <v>369.3</v>
      </c>
      <c r="I64" s="214">
        <v>314.2</v>
      </c>
      <c r="J64" s="214">
        <v>314.2</v>
      </c>
      <c r="K64" s="214">
        <v>330.7</v>
      </c>
      <c r="L64" s="214">
        <v>297.60000000000002</v>
      </c>
      <c r="M64" s="214">
        <v>297.60000000000002</v>
      </c>
      <c r="N64" s="214">
        <v>297.60000000000002</v>
      </c>
      <c r="O64" s="214">
        <v>264.60000000000002</v>
      </c>
      <c r="P64" s="214">
        <v>215</v>
      </c>
      <c r="Q64" s="214">
        <v>181.9</v>
      </c>
      <c r="R64" s="214">
        <v>126.8</v>
      </c>
      <c r="S64" s="214">
        <v>0</v>
      </c>
      <c r="T64" s="214">
        <v>0</v>
      </c>
      <c r="U64" s="214">
        <v>254.6</v>
      </c>
      <c r="V64" s="214">
        <v>254.6</v>
      </c>
      <c r="W64" s="214">
        <v>314.2</v>
      </c>
      <c r="X64" s="214">
        <v>88.2</v>
      </c>
      <c r="Y64" s="214">
        <v>88.2</v>
      </c>
      <c r="Z64" s="214">
        <v>159.80000000000001</v>
      </c>
      <c r="AA64" s="214">
        <v>330.7</v>
      </c>
      <c r="AB64" s="214">
        <v>341.7</v>
      </c>
      <c r="AC64" s="214">
        <v>253.5</v>
      </c>
      <c r="AD64" s="214">
        <v>237</v>
      </c>
      <c r="AE64" s="214">
        <v>232.6</v>
      </c>
      <c r="AF64" s="214">
        <v>232.6</v>
      </c>
      <c r="AG64" s="214">
        <v>232.6</v>
      </c>
      <c r="AH64" s="214">
        <v>226</v>
      </c>
      <c r="AI64" s="214">
        <v>187.4</v>
      </c>
      <c r="AJ64" s="214">
        <v>187.4</v>
      </c>
      <c r="AK64" s="214">
        <v>93.7</v>
      </c>
      <c r="AL64" s="214">
        <v>0</v>
      </c>
    </row>
    <row r="65" spans="1:38" x14ac:dyDescent="0.25">
      <c r="A65" s="214" t="s">
        <v>367</v>
      </c>
      <c r="B65" s="214">
        <v>0</v>
      </c>
      <c r="C65" s="214">
        <v>0</v>
      </c>
      <c r="D65" s="214">
        <v>0</v>
      </c>
      <c r="E65" s="214">
        <v>292.10000000000002</v>
      </c>
      <c r="F65" s="214">
        <v>352.7</v>
      </c>
      <c r="G65" s="214">
        <v>470.7</v>
      </c>
      <c r="H65" s="214">
        <v>529.1</v>
      </c>
      <c r="I65" s="214">
        <v>529.1</v>
      </c>
      <c r="J65" s="214">
        <v>374.8</v>
      </c>
      <c r="K65" s="214">
        <v>374.8</v>
      </c>
      <c r="L65" s="214">
        <v>325.2</v>
      </c>
      <c r="M65" s="214">
        <v>292.10000000000002</v>
      </c>
      <c r="N65" s="214">
        <v>292.10000000000002</v>
      </c>
      <c r="O65" s="214">
        <v>303.10000000000002</v>
      </c>
      <c r="P65" s="214">
        <v>292.10000000000002</v>
      </c>
      <c r="Q65" s="214">
        <v>0</v>
      </c>
      <c r="R65" s="214">
        <v>88.2</v>
      </c>
      <c r="S65" s="214">
        <v>0</v>
      </c>
      <c r="T65" s="214">
        <v>0</v>
      </c>
      <c r="U65" s="214">
        <v>292.10000000000002</v>
      </c>
      <c r="V65" s="214">
        <v>303.10000000000002</v>
      </c>
      <c r="W65" s="214">
        <v>314.2</v>
      </c>
      <c r="X65" s="214">
        <v>0</v>
      </c>
      <c r="Y65" s="214">
        <v>126.8</v>
      </c>
      <c r="Z65" s="214">
        <v>172</v>
      </c>
      <c r="AA65" s="214">
        <v>369.3</v>
      </c>
      <c r="AB65" s="214">
        <v>374.8</v>
      </c>
      <c r="AC65" s="214">
        <v>325.2</v>
      </c>
      <c r="AD65" s="214">
        <v>325.2</v>
      </c>
      <c r="AE65" s="214">
        <v>314.2</v>
      </c>
      <c r="AF65" s="214">
        <v>314.2</v>
      </c>
      <c r="AG65" s="214">
        <v>282.2</v>
      </c>
      <c r="AH65" s="214">
        <v>281.10000000000002</v>
      </c>
      <c r="AI65" s="214">
        <v>215</v>
      </c>
      <c r="AJ65" s="214">
        <v>215</v>
      </c>
      <c r="AK65" s="214">
        <v>203.9</v>
      </c>
      <c r="AL65" s="214">
        <v>137.80000000000001</v>
      </c>
    </row>
    <row r="66" spans="1:38" x14ac:dyDescent="0.25">
      <c r="A66" s="214" t="s">
        <v>368</v>
      </c>
      <c r="B66" s="214">
        <v>0</v>
      </c>
      <c r="C66" s="214">
        <v>0</v>
      </c>
      <c r="D66" s="214">
        <v>0</v>
      </c>
      <c r="E66" s="214">
        <v>319.7</v>
      </c>
      <c r="F66" s="214">
        <v>352.7</v>
      </c>
      <c r="G66" s="214">
        <v>468.5</v>
      </c>
      <c r="H66" s="214">
        <v>518.1</v>
      </c>
      <c r="I66" s="214">
        <v>518.1</v>
      </c>
      <c r="J66" s="214">
        <v>429.9</v>
      </c>
      <c r="K66" s="214">
        <v>429.9</v>
      </c>
      <c r="L66" s="214">
        <v>418.9</v>
      </c>
      <c r="M66" s="214">
        <v>386.9</v>
      </c>
      <c r="N66" s="214">
        <v>386.9</v>
      </c>
      <c r="O66" s="214">
        <v>319.7</v>
      </c>
      <c r="P66" s="214">
        <v>308.60000000000002</v>
      </c>
      <c r="Q66" s="214">
        <v>250.2</v>
      </c>
      <c r="R66" s="214">
        <v>231.5</v>
      </c>
      <c r="S66" s="214">
        <v>0</v>
      </c>
      <c r="T66" s="214">
        <v>0</v>
      </c>
      <c r="U66" s="214">
        <v>314.2</v>
      </c>
      <c r="V66" s="214">
        <v>314.2</v>
      </c>
      <c r="W66" s="214">
        <v>363.8</v>
      </c>
      <c r="X66" s="214">
        <v>0</v>
      </c>
      <c r="Y66" s="214">
        <v>110.2</v>
      </c>
      <c r="Z66" s="214">
        <v>215</v>
      </c>
      <c r="AA66" s="214">
        <v>425.5</v>
      </c>
      <c r="AB66" s="214">
        <v>429.9</v>
      </c>
      <c r="AC66" s="214">
        <v>402.3</v>
      </c>
      <c r="AD66" s="214">
        <v>402.3</v>
      </c>
      <c r="AE66" s="214">
        <v>396.8</v>
      </c>
      <c r="AF66" s="214">
        <v>327.39999999999998</v>
      </c>
      <c r="AG66" s="214">
        <v>327.39999999999998</v>
      </c>
      <c r="AH66" s="214">
        <v>282.2</v>
      </c>
      <c r="AI66" s="214">
        <v>282.2</v>
      </c>
      <c r="AJ66" s="214">
        <v>231.5</v>
      </c>
      <c r="AK66" s="214">
        <v>231.5</v>
      </c>
      <c r="AL66" s="214">
        <v>0</v>
      </c>
    </row>
    <row r="67" spans="1:38" x14ac:dyDescent="0.25">
      <c r="A67" s="214" t="s">
        <v>369</v>
      </c>
      <c r="B67" s="214">
        <v>0</v>
      </c>
      <c r="C67" s="214">
        <v>0</v>
      </c>
      <c r="D67" s="214">
        <v>0</v>
      </c>
      <c r="E67" s="214">
        <v>365</v>
      </c>
      <c r="F67" s="214">
        <v>440.9</v>
      </c>
      <c r="G67" s="214">
        <v>485</v>
      </c>
      <c r="H67" s="214">
        <v>661.4</v>
      </c>
      <c r="I67" s="214">
        <v>661.4</v>
      </c>
      <c r="J67" s="214">
        <v>579.79999999999995</v>
      </c>
      <c r="K67" s="214">
        <v>562.20000000000005</v>
      </c>
      <c r="L67" s="214">
        <v>496</v>
      </c>
      <c r="M67" s="214">
        <v>474</v>
      </c>
      <c r="N67" s="214">
        <v>396.8</v>
      </c>
      <c r="O67" s="214">
        <v>374.8</v>
      </c>
      <c r="P67" s="214">
        <v>353.8</v>
      </c>
      <c r="Q67" s="214">
        <v>275.60000000000002</v>
      </c>
      <c r="R67" s="214">
        <v>237</v>
      </c>
      <c r="S67" s="214">
        <v>198.4</v>
      </c>
      <c r="T67" s="214">
        <v>82.7</v>
      </c>
      <c r="U67" s="214">
        <v>303.10000000000002</v>
      </c>
      <c r="V67" s="214">
        <v>385.8</v>
      </c>
      <c r="W67" s="214">
        <v>407.9</v>
      </c>
      <c r="X67" s="214">
        <v>0</v>
      </c>
      <c r="Y67" s="214">
        <v>0</v>
      </c>
      <c r="Z67" s="214">
        <v>215</v>
      </c>
      <c r="AA67" s="214">
        <v>429.9</v>
      </c>
      <c r="AB67" s="214">
        <v>446.4</v>
      </c>
      <c r="AC67" s="214">
        <v>479.5</v>
      </c>
      <c r="AD67" s="214">
        <v>435.4</v>
      </c>
      <c r="AE67" s="214">
        <v>435.4</v>
      </c>
      <c r="AF67" s="214">
        <v>352.7</v>
      </c>
      <c r="AG67" s="214">
        <v>325.2</v>
      </c>
      <c r="AH67" s="214">
        <v>303.10000000000002</v>
      </c>
      <c r="AI67" s="214">
        <v>303.10000000000002</v>
      </c>
      <c r="AJ67" s="214">
        <v>238.1</v>
      </c>
      <c r="AK67" s="214">
        <v>183</v>
      </c>
      <c r="AL67" s="214">
        <v>183</v>
      </c>
    </row>
    <row r="68" spans="1:38" x14ac:dyDescent="0.25">
      <c r="A68" s="214" t="s">
        <v>370</v>
      </c>
      <c r="B68" s="214">
        <v>0</v>
      </c>
      <c r="C68" s="214">
        <v>93.7</v>
      </c>
      <c r="D68" s="214">
        <v>0</v>
      </c>
      <c r="E68" s="214">
        <v>374.8</v>
      </c>
      <c r="F68" s="214">
        <v>457.5</v>
      </c>
      <c r="G68" s="214">
        <v>573.20000000000005</v>
      </c>
      <c r="H68" s="214">
        <v>584.20000000000005</v>
      </c>
      <c r="I68" s="214">
        <v>705.5</v>
      </c>
      <c r="J68" s="214">
        <v>703.3</v>
      </c>
      <c r="K68" s="214">
        <v>606.29999999999995</v>
      </c>
      <c r="L68" s="214">
        <v>507.1</v>
      </c>
      <c r="M68" s="214">
        <v>481.7</v>
      </c>
      <c r="N68" s="214">
        <v>424.4</v>
      </c>
      <c r="O68" s="214">
        <v>424.4</v>
      </c>
      <c r="P68" s="214">
        <v>402.3</v>
      </c>
      <c r="Q68" s="214">
        <v>253.5</v>
      </c>
      <c r="R68" s="214">
        <v>242.5</v>
      </c>
      <c r="S68" s="214">
        <v>187.4</v>
      </c>
      <c r="T68" s="214">
        <v>0</v>
      </c>
      <c r="U68" s="214">
        <v>325.2</v>
      </c>
      <c r="V68" s="214">
        <v>440.9</v>
      </c>
      <c r="W68" s="214">
        <v>440.9</v>
      </c>
      <c r="X68" s="214">
        <v>0</v>
      </c>
      <c r="Y68" s="214">
        <v>71.7</v>
      </c>
      <c r="Z68" s="214">
        <v>264.60000000000002</v>
      </c>
      <c r="AA68" s="214">
        <v>440.9</v>
      </c>
      <c r="AB68" s="214">
        <v>514.79999999999995</v>
      </c>
      <c r="AC68" s="214">
        <v>514.79999999999995</v>
      </c>
      <c r="AD68" s="214">
        <v>514.79999999999995</v>
      </c>
      <c r="AE68" s="214">
        <v>490.5</v>
      </c>
      <c r="AF68" s="214">
        <v>463</v>
      </c>
      <c r="AG68" s="214">
        <v>369.3</v>
      </c>
      <c r="AH68" s="214">
        <v>319.7</v>
      </c>
      <c r="AI68" s="214">
        <v>314.2</v>
      </c>
      <c r="AJ68" s="214">
        <v>255.7</v>
      </c>
      <c r="AK68" s="214">
        <v>170.9</v>
      </c>
      <c r="AL68" s="214">
        <v>0</v>
      </c>
    </row>
    <row r="69" spans="1:38" x14ac:dyDescent="0.25">
      <c r="A69" s="214" t="s">
        <v>371</v>
      </c>
      <c r="B69" s="214">
        <v>0</v>
      </c>
      <c r="C69" s="214">
        <v>0</v>
      </c>
      <c r="D69" s="214">
        <v>0</v>
      </c>
      <c r="E69" s="214">
        <v>402.3</v>
      </c>
      <c r="F69" s="214">
        <v>457.5</v>
      </c>
      <c r="G69" s="214">
        <v>636</v>
      </c>
      <c r="H69" s="214">
        <v>636</v>
      </c>
      <c r="I69" s="214">
        <v>743</v>
      </c>
      <c r="J69" s="214">
        <v>743</v>
      </c>
      <c r="K69" s="214">
        <v>743</v>
      </c>
      <c r="L69" s="214">
        <v>743</v>
      </c>
      <c r="M69" s="214">
        <v>556.70000000000005</v>
      </c>
      <c r="N69" s="214">
        <v>501.6</v>
      </c>
      <c r="O69" s="214">
        <v>374.8</v>
      </c>
      <c r="P69" s="214">
        <v>440.9</v>
      </c>
      <c r="Q69" s="214">
        <v>325.2</v>
      </c>
      <c r="R69" s="214">
        <v>275.60000000000002</v>
      </c>
      <c r="S69" s="214">
        <v>0</v>
      </c>
      <c r="T69" s="214">
        <v>0</v>
      </c>
      <c r="U69" s="214">
        <v>325.2</v>
      </c>
      <c r="V69" s="214">
        <v>380.3</v>
      </c>
      <c r="W69" s="214">
        <v>413.4</v>
      </c>
      <c r="X69" s="214">
        <v>0</v>
      </c>
      <c r="Y69" s="214">
        <v>0</v>
      </c>
      <c r="Z69" s="214">
        <v>242.5</v>
      </c>
      <c r="AA69" s="214">
        <v>474</v>
      </c>
      <c r="AB69" s="214">
        <v>534.6</v>
      </c>
      <c r="AC69" s="214">
        <v>512.6</v>
      </c>
      <c r="AD69" s="214">
        <v>512.6</v>
      </c>
      <c r="AE69" s="214">
        <v>429.9</v>
      </c>
      <c r="AF69" s="214">
        <v>413.4</v>
      </c>
      <c r="AG69" s="214">
        <v>374.8</v>
      </c>
      <c r="AH69" s="214">
        <v>352.7</v>
      </c>
      <c r="AI69" s="214">
        <v>319.7</v>
      </c>
      <c r="AJ69" s="214">
        <v>319.7</v>
      </c>
      <c r="AK69" s="214">
        <v>270.10000000000002</v>
      </c>
      <c r="AL69" s="214">
        <v>0</v>
      </c>
    </row>
    <row r="70" spans="1:38" x14ac:dyDescent="0.25">
      <c r="A70" s="214" t="s">
        <v>372</v>
      </c>
      <c r="B70" s="214">
        <v>0</v>
      </c>
      <c r="C70" s="214">
        <v>0</v>
      </c>
      <c r="D70" s="214">
        <v>0</v>
      </c>
      <c r="E70" s="214">
        <v>374.8</v>
      </c>
      <c r="F70" s="214">
        <v>540.1</v>
      </c>
      <c r="G70" s="214">
        <v>623.9</v>
      </c>
      <c r="H70" s="214">
        <v>650.4</v>
      </c>
      <c r="I70" s="214">
        <v>785.9</v>
      </c>
      <c r="J70" s="214">
        <v>695.6</v>
      </c>
      <c r="K70" s="214">
        <v>666.9</v>
      </c>
      <c r="L70" s="214">
        <v>666.9</v>
      </c>
      <c r="M70" s="214">
        <v>534.6</v>
      </c>
      <c r="N70" s="214">
        <v>479.5</v>
      </c>
      <c r="O70" s="214">
        <v>440.9</v>
      </c>
      <c r="P70" s="214">
        <v>435.4</v>
      </c>
      <c r="Q70" s="214">
        <v>341.7</v>
      </c>
      <c r="R70" s="214">
        <v>0</v>
      </c>
      <c r="S70" s="214">
        <v>0</v>
      </c>
      <c r="T70" s="214">
        <v>0</v>
      </c>
      <c r="U70" s="214">
        <v>319.7</v>
      </c>
      <c r="V70" s="214">
        <v>358</v>
      </c>
      <c r="W70" s="214">
        <v>451.9</v>
      </c>
      <c r="X70" s="214">
        <v>0</v>
      </c>
      <c r="Y70" s="214">
        <v>0</v>
      </c>
      <c r="Z70" s="214">
        <v>165.3</v>
      </c>
      <c r="AA70" s="214">
        <v>534.6</v>
      </c>
      <c r="AB70" s="214">
        <v>557.79999999999995</v>
      </c>
      <c r="AC70" s="214">
        <v>529.1</v>
      </c>
      <c r="AD70" s="214">
        <v>529.1</v>
      </c>
      <c r="AE70" s="214">
        <v>529.1</v>
      </c>
      <c r="AF70" s="214">
        <v>457.5</v>
      </c>
      <c r="AG70" s="214">
        <v>418.9</v>
      </c>
      <c r="AH70" s="214">
        <v>352.7</v>
      </c>
      <c r="AI70" s="214">
        <v>325.2</v>
      </c>
      <c r="AJ70" s="214">
        <v>281.10000000000002</v>
      </c>
      <c r="AK70" s="214">
        <v>0</v>
      </c>
      <c r="AL70" s="214">
        <v>0</v>
      </c>
    </row>
    <row r="71" spans="1:38" x14ac:dyDescent="0.25">
      <c r="A71" s="214" t="s">
        <v>373</v>
      </c>
      <c r="B71" s="214">
        <v>0</v>
      </c>
      <c r="C71" s="214">
        <v>0</v>
      </c>
      <c r="D71" s="214">
        <v>0</v>
      </c>
      <c r="E71" s="214">
        <v>385.8</v>
      </c>
      <c r="F71" s="214">
        <v>573.20000000000005</v>
      </c>
      <c r="G71" s="214">
        <v>600.79999999999995</v>
      </c>
      <c r="H71" s="214">
        <v>771.6</v>
      </c>
      <c r="I71" s="214">
        <v>903.9</v>
      </c>
      <c r="J71" s="214">
        <v>848.8</v>
      </c>
      <c r="K71" s="214">
        <v>799.2</v>
      </c>
      <c r="L71" s="214">
        <v>705.5</v>
      </c>
      <c r="M71" s="214">
        <v>705.5</v>
      </c>
      <c r="N71" s="214">
        <v>633.79999999999995</v>
      </c>
      <c r="O71" s="214">
        <v>512.6</v>
      </c>
      <c r="P71" s="214">
        <v>396.8</v>
      </c>
      <c r="Q71" s="214">
        <v>220.5</v>
      </c>
      <c r="R71" s="214">
        <v>0</v>
      </c>
      <c r="S71" s="214">
        <v>0</v>
      </c>
      <c r="T71" s="214">
        <v>0</v>
      </c>
      <c r="U71" s="214">
        <v>385.8</v>
      </c>
      <c r="V71" s="214">
        <v>418.9</v>
      </c>
      <c r="W71" s="214">
        <v>457.5</v>
      </c>
      <c r="X71" s="214">
        <v>0</v>
      </c>
      <c r="Y71" s="214">
        <v>297.60000000000002</v>
      </c>
      <c r="Z71" s="214">
        <v>297.60000000000002</v>
      </c>
      <c r="AA71" s="214">
        <v>600.79999999999995</v>
      </c>
      <c r="AB71" s="214">
        <v>639.29999999999995</v>
      </c>
      <c r="AC71" s="214">
        <v>573.20000000000005</v>
      </c>
      <c r="AD71" s="214">
        <v>545.6</v>
      </c>
      <c r="AE71" s="214">
        <v>523.6</v>
      </c>
      <c r="AF71" s="214">
        <v>502.7</v>
      </c>
      <c r="AG71" s="214">
        <v>502.7</v>
      </c>
      <c r="AH71" s="214">
        <v>352.7</v>
      </c>
      <c r="AI71" s="214">
        <v>319.7</v>
      </c>
      <c r="AJ71" s="214">
        <v>286.60000000000002</v>
      </c>
      <c r="AK71" s="214">
        <v>170.9</v>
      </c>
      <c r="AL71" s="214">
        <v>0</v>
      </c>
    </row>
    <row r="72" spans="1:38" x14ac:dyDescent="0.25">
      <c r="A72" s="214" t="s">
        <v>250</v>
      </c>
      <c r="B72" s="214">
        <v>0</v>
      </c>
      <c r="C72" s="214">
        <v>0</v>
      </c>
      <c r="D72" s="214">
        <v>0</v>
      </c>
      <c r="E72" s="214">
        <v>0</v>
      </c>
      <c r="F72" s="214">
        <v>0</v>
      </c>
      <c r="G72" s="214">
        <v>0</v>
      </c>
      <c r="H72" s="214">
        <v>0</v>
      </c>
      <c r="I72" s="214">
        <v>0</v>
      </c>
      <c r="J72" s="214">
        <v>0</v>
      </c>
      <c r="K72" s="214">
        <v>0</v>
      </c>
      <c r="L72" s="214">
        <v>0</v>
      </c>
      <c r="M72" s="214">
        <v>0</v>
      </c>
      <c r="N72" s="214">
        <v>0</v>
      </c>
      <c r="O72" s="214">
        <v>0</v>
      </c>
      <c r="P72" s="214">
        <v>0</v>
      </c>
      <c r="Q72" s="214">
        <v>0</v>
      </c>
      <c r="R72" s="214">
        <v>0</v>
      </c>
      <c r="S72" s="214">
        <v>0</v>
      </c>
      <c r="T72" s="214">
        <v>0</v>
      </c>
      <c r="U72" s="214">
        <v>0</v>
      </c>
      <c r="V72" s="214">
        <v>0</v>
      </c>
      <c r="W72" s="214">
        <v>0</v>
      </c>
      <c r="X72" s="214">
        <v>154.30000000000001</v>
      </c>
      <c r="Y72" s="214">
        <v>154.30000000000001</v>
      </c>
      <c r="Z72" s="214">
        <v>154.30000000000001</v>
      </c>
      <c r="AA72" s="214">
        <v>0</v>
      </c>
      <c r="AB72" s="214">
        <v>0</v>
      </c>
      <c r="AC72" s="214">
        <v>0</v>
      </c>
      <c r="AD72" s="214">
        <v>0</v>
      </c>
      <c r="AE72" s="214">
        <v>0</v>
      </c>
      <c r="AF72" s="214">
        <v>0</v>
      </c>
      <c r="AG72" s="214">
        <v>0</v>
      </c>
      <c r="AH72" s="214">
        <v>0</v>
      </c>
      <c r="AI72" s="214">
        <v>0</v>
      </c>
      <c r="AJ72" s="214">
        <v>0</v>
      </c>
      <c r="AK72" s="214">
        <v>0</v>
      </c>
      <c r="AL72" s="214">
        <v>0</v>
      </c>
    </row>
    <row r="73" spans="1:38" x14ac:dyDescent="0.25">
      <c r="A73" s="214" t="s">
        <v>694</v>
      </c>
      <c r="B73" s="214">
        <v>0</v>
      </c>
      <c r="C73" s="214">
        <v>0</v>
      </c>
      <c r="D73" s="214">
        <v>0</v>
      </c>
      <c r="E73" s="214">
        <v>0</v>
      </c>
      <c r="F73" s="214">
        <v>0</v>
      </c>
      <c r="G73" s="214">
        <v>0</v>
      </c>
      <c r="H73" s="214">
        <v>0</v>
      </c>
      <c r="I73" s="214">
        <v>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  <c r="O73" s="214">
        <v>0</v>
      </c>
      <c r="P73" s="214">
        <v>0</v>
      </c>
      <c r="Q73" s="214">
        <v>0</v>
      </c>
      <c r="R73" s="214">
        <v>0</v>
      </c>
      <c r="S73" s="214">
        <v>0</v>
      </c>
      <c r="T73" s="214">
        <v>0</v>
      </c>
      <c r="U73" s="214">
        <v>0</v>
      </c>
      <c r="V73" s="214">
        <v>0</v>
      </c>
      <c r="W73" s="214">
        <v>0</v>
      </c>
      <c r="X73" s="214">
        <v>165.3</v>
      </c>
      <c r="Y73" s="214">
        <v>165.3</v>
      </c>
      <c r="Z73" s="214">
        <v>165.3</v>
      </c>
      <c r="AA73" s="214">
        <v>0</v>
      </c>
      <c r="AB73" s="214">
        <v>0</v>
      </c>
      <c r="AC73" s="214">
        <v>0</v>
      </c>
      <c r="AD73" s="214">
        <v>0</v>
      </c>
      <c r="AE73" s="214">
        <v>0</v>
      </c>
      <c r="AF73" s="214">
        <v>0</v>
      </c>
      <c r="AG73" s="214">
        <v>0</v>
      </c>
      <c r="AH73" s="214">
        <v>0</v>
      </c>
      <c r="AI73" s="214">
        <v>0</v>
      </c>
      <c r="AJ73" s="214">
        <v>0</v>
      </c>
      <c r="AK73" s="214">
        <v>0</v>
      </c>
      <c r="AL73" s="214">
        <v>0</v>
      </c>
    </row>
    <row r="74" spans="1:38" x14ac:dyDescent="0.25">
      <c r="A74" s="214" t="s">
        <v>693</v>
      </c>
      <c r="B74" s="214">
        <v>0</v>
      </c>
      <c r="C74" s="214">
        <v>0</v>
      </c>
      <c r="D74" s="214">
        <v>0</v>
      </c>
      <c r="E74" s="214">
        <v>0</v>
      </c>
      <c r="F74" s="214">
        <v>0</v>
      </c>
      <c r="G74" s="214">
        <v>0</v>
      </c>
      <c r="H74" s="214">
        <v>0</v>
      </c>
      <c r="I74" s="214">
        <v>0</v>
      </c>
      <c r="J74" s="214">
        <v>0</v>
      </c>
      <c r="K74" s="214">
        <v>0</v>
      </c>
      <c r="L74" s="214">
        <v>0</v>
      </c>
      <c r="M74" s="214">
        <v>0</v>
      </c>
      <c r="N74" s="214">
        <v>0</v>
      </c>
      <c r="O74" s="214">
        <v>0</v>
      </c>
      <c r="P74" s="214">
        <v>0</v>
      </c>
      <c r="Q74" s="214">
        <v>0</v>
      </c>
      <c r="R74" s="214">
        <v>0</v>
      </c>
      <c r="S74" s="214">
        <v>0</v>
      </c>
      <c r="T74" s="214">
        <v>0</v>
      </c>
      <c r="U74" s="214">
        <v>198.4</v>
      </c>
      <c r="V74" s="214">
        <v>198.4</v>
      </c>
      <c r="W74" s="214">
        <v>198.4</v>
      </c>
      <c r="X74" s="214">
        <v>0</v>
      </c>
      <c r="Y74" s="214">
        <v>205</v>
      </c>
      <c r="Z74" s="214">
        <v>221.6</v>
      </c>
      <c r="AA74" s="214">
        <v>198.4</v>
      </c>
      <c r="AB74" s="214">
        <v>198.4</v>
      </c>
      <c r="AC74" s="214">
        <v>0</v>
      </c>
      <c r="AD74" s="214">
        <v>0</v>
      </c>
      <c r="AE74" s="214">
        <v>0</v>
      </c>
      <c r="AF74" s="214">
        <v>0</v>
      </c>
      <c r="AG74" s="214">
        <v>0</v>
      </c>
      <c r="AH74" s="214">
        <v>0</v>
      </c>
      <c r="AI74" s="214">
        <v>0</v>
      </c>
      <c r="AJ74" s="214">
        <v>0</v>
      </c>
      <c r="AK74" s="214">
        <v>0</v>
      </c>
      <c r="AL74" s="214">
        <v>0</v>
      </c>
    </row>
    <row r="75" spans="1:38" x14ac:dyDescent="0.25">
      <c r="A75" s="214" t="s">
        <v>705</v>
      </c>
      <c r="B75" s="214">
        <v>0</v>
      </c>
      <c r="C75" s="214">
        <v>0</v>
      </c>
      <c r="D75" s="214">
        <v>0</v>
      </c>
      <c r="E75" s="214">
        <v>0</v>
      </c>
      <c r="F75" s="214">
        <v>314.2</v>
      </c>
      <c r="G75" s="214">
        <v>314.2</v>
      </c>
      <c r="H75" s="214">
        <v>314.2</v>
      </c>
      <c r="I75" s="214">
        <v>0</v>
      </c>
      <c r="J75" s="214">
        <v>0</v>
      </c>
      <c r="K75" s="214">
        <v>0</v>
      </c>
      <c r="L75" s="214">
        <v>0</v>
      </c>
      <c r="M75" s="214">
        <v>0</v>
      </c>
      <c r="N75" s="214">
        <v>0</v>
      </c>
      <c r="O75" s="214">
        <v>0</v>
      </c>
      <c r="P75" s="214">
        <v>0</v>
      </c>
      <c r="Q75" s="214">
        <v>0</v>
      </c>
      <c r="R75" s="214">
        <v>0</v>
      </c>
      <c r="S75" s="214">
        <v>0</v>
      </c>
      <c r="T75" s="214">
        <v>0</v>
      </c>
      <c r="U75" s="214">
        <v>0</v>
      </c>
      <c r="V75" s="214">
        <v>0</v>
      </c>
      <c r="W75" s="214">
        <v>0</v>
      </c>
      <c r="X75" s="214">
        <v>165.3</v>
      </c>
      <c r="Y75" s="214">
        <v>231.5</v>
      </c>
      <c r="Z75" s="214">
        <v>286.60000000000002</v>
      </c>
      <c r="AA75" s="214">
        <v>0</v>
      </c>
      <c r="AB75" s="214">
        <v>0</v>
      </c>
      <c r="AC75" s="214">
        <v>0</v>
      </c>
      <c r="AD75" s="214">
        <v>0</v>
      </c>
      <c r="AE75" s="214">
        <v>0</v>
      </c>
      <c r="AF75" s="214">
        <v>0</v>
      </c>
      <c r="AG75" s="214">
        <v>0</v>
      </c>
      <c r="AH75" s="214">
        <v>0</v>
      </c>
      <c r="AI75" s="214">
        <v>0</v>
      </c>
      <c r="AJ75" s="214">
        <v>0</v>
      </c>
      <c r="AK75" s="214">
        <v>0</v>
      </c>
      <c r="AL75" s="214">
        <v>0</v>
      </c>
    </row>
    <row r="76" spans="1:38" x14ac:dyDescent="0.25">
      <c r="A76" s="214" t="s">
        <v>254</v>
      </c>
      <c r="B76" s="214">
        <v>0</v>
      </c>
      <c r="C76" s="214">
        <v>0</v>
      </c>
      <c r="D76" s="214">
        <v>0</v>
      </c>
      <c r="E76" s="214">
        <v>0</v>
      </c>
      <c r="F76" s="214">
        <v>0</v>
      </c>
      <c r="G76" s="214">
        <v>0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214">
        <v>0</v>
      </c>
      <c r="P76" s="214">
        <v>0</v>
      </c>
      <c r="Q76" s="214">
        <v>0</v>
      </c>
      <c r="R76" s="214">
        <v>0</v>
      </c>
      <c r="S76" s="214">
        <v>0</v>
      </c>
      <c r="T76" s="214">
        <v>0</v>
      </c>
      <c r="U76" s="214">
        <v>215</v>
      </c>
      <c r="V76" s="214">
        <v>215</v>
      </c>
      <c r="W76" s="214">
        <v>215</v>
      </c>
      <c r="X76" s="214">
        <v>121.3</v>
      </c>
      <c r="Y76" s="214">
        <v>192.9</v>
      </c>
      <c r="Z76" s="214">
        <v>303.10000000000002</v>
      </c>
      <c r="AA76" s="214">
        <v>215</v>
      </c>
      <c r="AB76" s="214">
        <v>215</v>
      </c>
      <c r="AC76" s="214">
        <v>0</v>
      </c>
      <c r="AD76" s="214">
        <v>0</v>
      </c>
      <c r="AE76" s="214">
        <v>0</v>
      </c>
      <c r="AF76" s="214">
        <v>0</v>
      </c>
      <c r="AG76" s="214">
        <v>0</v>
      </c>
      <c r="AH76" s="214">
        <v>0</v>
      </c>
      <c r="AI76" s="214">
        <v>0</v>
      </c>
      <c r="AJ76" s="214">
        <v>0</v>
      </c>
      <c r="AK76" s="214">
        <v>0</v>
      </c>
      <c r="AL76" s="214">
        <v>0</v>
      </c>
    </row>
    <row r="77" spans="1:38" x14ac:dyDescent="0.25">
      <c r="A77" s="214" t="s">
        <v>374</v>
      </c>
      <c r="B77" s="214">
        <v>0</v>
      </c>
      <c r="C77" s="214">
        <v>215</v>
      </c>
      <c r="D77" s="214">
        <v>264.60000000000002</v>
      </c>
      <c r="E77" s="214">
        <v>429.9</v>
      </c>
      <c r="F77" s="214">
        <v>457.5</v>
      </c>
      <c r="G77" s="214">
        <v>507.1</v>
      </c>
      <c r="H77" s="214">
        <v>567.70000000000005</v>
      </c>
      <c r="I77" s="214">
        <v>523.6</v>
      </c>
      <c r="J77" s="214">
        <v>0</v>
      </c>
      <c r="K77" s="214">
        <v>0</v>
      </c>
      <c r="L77" s="214">
        <v>0</v>
      </c>
      <c r="M77" s="214">
        <v>0</v>
      </c>
      <c r="N77" s="214">
        <v>0</v>
      </c>
      <c r="O77" s="214">
        <v>0</v>
      </c>
      <c r="P77" s="214">
        <v>0</v>
      </c>
      <c r="Q77" s="214">
        <v>0</v>
      </c>
      <c r="R77" s="214">
        <v>0</v>
      </c>
      <c r="S77" s="214">
        <v>0</v>
      </c>
      <c r="T77" s="214">
        <v>0</v>
      </c>
      <c r="U77" s="214">
        <v>443.1</v>
      </c>
      <c r="V77" s="214">
        <v>443.1</v>
      </c>
      <c r="W77" s="214">
        <v>507.1</v>
      </c>
      <c r="X77" s="214">
        <v>115.7</v>
      </c>
      <c r="Y77" s="214">
        <v>248</v>
      </c>
      <c r="Z77" s="214">
        <v>308.60000000000002</v>
      </c>
      <c r="AA77" s="214">
        <v>598.6</v>
      </c>
      <c r="AB77" s="214">
        <v>512.6</v>
      </c>
      <c r="AC77" s="214">
        <v>0</v>
      </c>
      <c r="AD77" s="214">
        <v>0</v>
      </c>
      <c r="AE77" s="214">
        <v>0</v>
      </c>
      <c r="AF77" s="214">
        <v>0</v>
      </c>
      <c r="AG77" s="214">
        <v>0</v>
      </c>
      <c r="AH77" s="214">
        <v>0</v>
      </c>
      <c r="AI77" s="214">
        <v>0</v>
      </c>
      <c r="AJ77" s="214">
        <v>0</v>
      </c>
      <c r="AK77" s="214">
        <v>0</v>
      </c>
      <c r="AL77" s="214">
        <v>0</v>
      </c>
    </row>
    <row r="78" spans="1:38" x14ac:dyDescent="0.25">
      <c r="A78" s="214" t="s">
        <v>375</v>
      </c>
      <c r="B78" s="214">
        <v>0</v>
      </c>
      <c r="C78" s="214">
        <v>0</v>
      </c>
      <c r="D78" s="214">
        <v>253.5</v>
      </c>
      <c r="E78" s="214">
        <v>451.9</v>
      </c>
      <c r="F78" s="214">
        <v>479.5</v>
      </c>
      <c r="G78" s="214">
        <v>501.6</v>
      </c>
      <c r="H78" s="214">
        <v>569.9</v>
      </c>
      <c r="I78" s="214">
        <v>578.70000000000005</v>
      </c>
      <c r="J78" s="214">
        <v>562.20000000000005</v>
      </c>
      <c r="K78" s="214">
        <v>562.20000000000005</v>
      </c>
      <c r="L78" s="214">
        <v>556.70000000000005</v>
      </c>
      <c r="M78" s="214">
        <v>391.3</v>
      </c>
      <c r="N78" s="214">
        <v>391.3</v>
      </c>
      <c r="O78" s="214">
        <v>391.3</v>
      </c>
      <c r="P78" s="214">
        <v>391.3</v>
      </c>
      <c r="Q78" s="214">
        <v>0</v>
      </c>
      <c r="R78" s="214">
        <v>0</v>
      </c>
      <c r="S78" s="214">
        <v>0</v>
      </c>
      <c r="T78" s="214">
        <v>0</v>
      </c>
      <c r="U78" s="214">
        <v>443.1</v>
      </c>
      <c r="V78" s="214">
        <v>479.5</v>
      </c>
      <c r="W78" s="214">
        <v>534.6</v>
      </c>
      <c r="X78" s="214">
        <v>132.30000000000001</v>
      </c>
      <c r="Y78" s="214">
        <v>220.5</v>
      </c>
      <c r="Z78" s="214">
        <v>303.10000000000002</v>
      </c>
      <c r="AA78" s="214">
        <v>551.20000000000005</v>
      </c>
      <c r="AB78" s="214">
        <v>556.70000000000005</v>
      </c>
      <c r="AC78" s="214">
        <v>556.70000000000005</v>
      </c>
      <c r="AD78" s="214">
        <v>556.70000000000005</v>
      </c>
      <c r="AE78" s="214">
        <v>556.70000000000005</v>
      </c>
      <c r="AF78" s="214">
        <v>443.1</v>
      </c>
      <c r="AG78" s="214">
        <v>443.1</v>
      </c>
      <c r="AH78" s="214">
        <v>303.10000000000002</v>
      </c>
      <c r="AI78" s="214">
        <v>352.7</v>
      </c>
      <c r="AJ78" s="214">
        <v>226</v>
      </c>
      <c r="AK78" s="214">
        <v>226</v>
      </c>
      <c r="AL78" s="214">
        <v>0</v>
      </c>
    </row>
    <row r="79" spans="1:38" x14ac:dyDescent="0.25">
      <c r="A79" s="214" t="s">
        <v>376</v>
      </c>
      <c r="B79" s="214">
        <v>0</v>
      </c>
      <c r="C79" s="214">
        <v>0</v>
      </c>
      <c r="D79" s="214">
        <v>0</v>
      </c>
      <c r="E79" s="214">
        <v>485</v>
      </c>
      <c r="F79" s="214">
        <v>529.1</v>
      </c>
      <c r="G79" s="214">
        <v>573.20000000000005</v>
      </c>
      <c r="H79" s="214">
        <v>606.29999999999995</v>
      </c>
      <c r="I79" s="214">
        <v>611.79999999999995</v>
      </c>
      <c r="J79" s="214">
        <v>600</v>
      </c>
      <c r="K79" s="214">
        <v>600</v>
      </c>
      <c r="L79" s="214">
        <v>600</v>
      </c>
      <c r="M79" s="214">
        <v>496</v>
      </c>
      <c r="N79" s="214">
        <v>463</v>
      </c>
      <c r="O79" s="214">
        <v>463</v>
      </c>
      <c r="P79" s="214">
        <v>347.2</v>
      </c>
      <c r="Q79" s="214">
        <v>0</v>
      </c>
      <c r="R79" s="214">
        <v>0</v>
      </c>
      <c r="S79" s="214">
        <v>0</v>
      </c>
      <c r="T79" s="214">
        <v>0</v>
      </c>
      <c r="U79" s="214">
        <v>451.9</v>
      </c>
      <c r="V79" s="214">
        <v>468.5</v>
      </c>
      <c r="W79" s="214">
        <v>502.7</v>
      </c>
      <c r="X79" s="214">
        <v>0</v>
      </c>
      <c r="Y79" s="214">
        <v>165.3</v>
      </c>
      <c r="Z79" s="214">
        <v>341.7</v>
      </c>
      <c r="AA79" s="214">
        <v>595.20000000000005</v>
      </c>
      <c r="AB79" s="214">
        <v>611.79999999999995</v>
      </c>
      <c r="AC79" s="214">
        <v>578.70000000000005</v>
      </c>
      <c r="AD79" s="214">
        <v>518.1</v>
      </c>
      <c r="AE79" s="214">
        <v>507.1</v>
      </c>
      <c r="AF79" s="214">
        <v>451.9</v>
      </c>
      <c r="AG79" s="214">
        <v>418.9</v>
      </c>
      <c r="AH79" s="214">
        <v>331.8</v>
      </c>
      <c r="AI79" s="214">
        <v>331.8</v>
      </c>
      <c r="AJ79" s="214">
        <v>270.10000000000002</v>
      </c>
      <c r="AK79" s="214">
        <v>220.5</v>
      </c>
      <c r="AL79" s="214">
        <v>220.5</v>
      </c>
    </row>
    <row r="80" spans="1:38" x14ac:dyDescent="0.25">
      <c r="A80" s="214" t="s">
        <v>377</v>
      </c>
      <c r="B80" s="214">
        <v>0</v>
      </c>
      <c r="C80" s="214">
        <v>0</v>
      </c>
      <c r="D80" s="214">
        <v>0</v>
      </c>
      <c r="E80" s="214">
        <v>501.6</v>
      </c>
      <c r="F80" s="214">
        <v>645.1</v>
      </c>
      <c r="G80" s="214">
        <v>655.9</v>
      </c>
      <c r="H80" s="214">
        <v>727.5</v>
      </c>
      <c r="I80" s="214">
        <v>727.5</v>
      </c>
      <c r="J80" s="214">
        <v>666.9</v>
      </c>
      <c r="K80" s="214">
        <v>584.20000000000005</v>
      </c>
      <c r="L80" s="214">
        <v>600.79999999999995</v>
      </c>
      <c r="M80" s="214">
        <v>562.20000000000005</v>
      </c>
      <c r="N80" s="214">
        <v>507.1</v>
      </c>
      <c r="O80" s="214">
        <v>496</v>
      </c>
      <c r="P80" s="214">
        <v>485</v>
      </c>
      <c r="Q80" s="214">
        <v>435.4</v>
      </c>
      <c r="R80" s="214">
        <v>275.60000000000002</v>
      </c>
      <c r="S80" s="214">
        <v>0</v>
      </c>
      <c r="T80" s="214">
        <v>0</v>
      </c>
      <c r="U80" s="214">
        <v>424.4</v>
      </c>
      <c r="V80" s="214">
        <v>556.70000000000005</v>
      </c>
      <c r="W80" s="214">
        <v>618.4</v>
      </c>
      <c r="X80" s="214">
        <v>0</v>
      </c>
      <c r="Y80" s="214">
        <v>0</v>
      </c>
      <c r="Z80" s="214">
        <v>402.3</v>
      </c>
      <c r="AA80" s="214">
        <v>672.4</v>
      </c>
      <c r="AB80" s="214">
        <v>677.9</v>
      </c>
      <c r="AC80" s="214">
        <v>677.9</v>
      </c>
      <c r="AD80" s="214">
        <v>529.1</v>
      </c>
      <c r="AE80" s="214">
        <v>529.1</v>
      </c>
      <c r="AF80" s="214">
        <v>529.1</v>
      </c>
      <c r="AG80" s="214">
        <v>446.4</v>
      </c>
      <c r="AH80" s="214">
        <v>429.9</v>
      </c>
      <c r="AI80" s="214">
        <v>429.9</v>
      </c>
      <c r="AJ80" s="214">
        <v>369.3</v>
      </c>
      <c r="AK80" s="214">
        <v>341.7</v>
      </c>
      <c r="AL80" s="214">
        <v>0</v>
      </c>
    </row>
    <row r="81" spans="1:38" x14ac:dyDescent="0.25">
      <c r="A81" s="214" t="s">
        <v>378</v>
      </c>
      <c r="B81" s="214">
        <v>0</v>
      </c>
      <c r="C81" s="214">
        <v>0</v>
      </c>
      <c r="D81" s="214">
        <v>0</v>
      </c>
      <c r="E81" s="214">
        <v>611.79999999999995</v>
      </c>
      <c r="F81" s="214">
        <v>683.4</v>
      </c>
      <c r="G81" s="214">
        <v>688.9</v>
      </c>
      <c r="H81" s="214">
        <v>722</v>
      </c>
      <c r="I81" s="214">
        <v>749.6</v>
      </c>
      <c r="J81" s="214">
        <v>733</v>
      </c>
      <c r="K81" s="214">
        <v>705.5</v>
      </c>
      <c r="L81" s="214">
        <v>705.5</v>
      </c>
      <c r="M81" s="214">
        <v>677.9</v>
      </c>
      <c r="N81" s="214">
        <v>562.20000000000005</v>
      </c>
      <c r="O81" s="214">
        <v>540.1</v>
      </c>
      <c r="P81" s="214">
        <v>507.1</v>
      </c>
      <c r="Q81" s="214">
        <v>424.4</v>
      </c>
      <c r="R81" s="214">
        <v>418.9</v>
      </c>
      <c r="S81" s="214">
        <v>385.8</v>
      </c>
      <c r="T81" s="214">
        <v>0</v>
      </c>
      <c r="U81" s="214">
        <v>501.6</v>
      </c>
      <c r="V81" s="214">
        <v>622.79999999999995</v>
      </c>
      <c r="W81" s="214">
        <v>700</v>
      </c>
      <c r="X81" s="214">
        <v>0</v>
      </c>
      <c r="Y81" s="214">
        <v>0</v>
      </c>
      <c r="Z81" s="214">
        <v>396.8</v>
      </c>
      <c r="AA81" s="214">
        <v>706.6</v>
      </c>
      <c r="AB81" s="214">
        <v>749.6</v>
      </c>
      <c r="AC81" s="214">
        <v>639.29999999999995</v>
      </c>
      <c r="AD81" s="214">
        <v>633.79999999999995</v>
      </c>
      <c r="AE81" s="214">
        <v>628.29999999999995</v>
      </c>
      <c r="AF81" s="214">
        <v>611.79999999999995</v>
      </c>
      <c r="AG81" s="214">
        <v>529.1</v>
      </c>
      <c r="AH81" s="214">
        <v>529.1</v>
      </c>
      <c r="AI81" s="214">
        <v>470.7</v>
      </c>
      <c r="AJ81" s="214">
        <v>407.9</v>
      </c>
      <c r="AK81" s="214">
        <v>402.3</v>
      </c>
      <c r="AL81" s="214">
        <v>259</v>
      </c>
    </row>
    <row r="82" spans="1:38" x14ac:dyDescent="0.25">
      <c r="A82" s="214" t="s">
        <v>379</v>
      </c>
      <c r="B82" s="214">
        <v>0</v>
      </c>
      <c r="C82" s="214">
        <v>203.9</v>
      </c>
      <c r="D82" s="214">
        <v>0</v>
      </c>
      <c r="E82" s="214">
        <v>567.70000000000005</v>
      </c>
      <c r="F82" s="214">
        <v>711</v>
      </c>
      <c r="G82" s="214">
        <v>810.2</v>
      </c>
      <c r="H82" s="214">
        <v>832.2</v>
      </c>
      <c r="I82" s="214">
        <v>832.2</v>
      </c>
      <c r="J82" s="214">
        <v>770</v>
      </c>
      <c r="K82" s="214">
        <v>733</v>
      </c>
      <c r="L82" s="214">
        <v>723.1</v>
      </c>
      <c r="M82" s="214">
        <v>716.5</v>
      </c>
      <c r="N82" s="214">
        <v>584.20000000000005</v>
      </c>
      <c r="O82" s="214">
        <v>573.20000000000005</v>
      </c>
      <c r="P82" s="214">
        <v>540.1</v>
      </c>
      <c r="Q82" s="214">
        <v>440.9</v>
      </c>
      <c r="R82" s="214">
        <v>380.3</v>
      </c>
      <c r="S82" s="214">
        <v>275.60000000000002</v>
      </c>
      <c r="T82" s="214">
        <v>0</v>
      </c>
      <c r="U82" s="214">
        <v>523.6</v>
      </c>
      <c r="V82" s="214">
        <v>700</v>
      </c>
      <c r="W82" s="214">
        <v>722</v>
      </c>
      <c r="X82" s="214">
        <v>0</v>
      </c>
      <c r="Y82" s="214">
        <v>170.9</v>
      </c>
      <c r="Z82" s="214">
        <v>374.8</v>
      </c>
      <c r="AA82" s="214">
        <v>777.1</v>
      </c>
      <c r="AB82" s="214">
        <v>777.1</v>
      </c>
      <c r="AC82" s="214">
        <v>705.5</v>
      </c>
      <c r="AD82" s="214">
        <v>688.9</v>
      </c>
      <c r="AE82" s="214">
        <v>688.9</v>
      </c>
      <c r="AF82" s="214">
        <v>688.9</v>
      </c>
      <c r="AG82" s="214">
        <v>610.70000000000005</v>
      </c>
      <c r="AH82" s="214">
        <v>580</v>
      </c>
      <c r="AI82" s="214">
        <v>485</v>
      </c>
      <c r="AJ82" s="214">
        <v>397.9</v>
      </c>
      <c r="AK82" s="214">
        <v>397.9</v>
      </c>
      <c r="AL82" s="214">
        <v>0</v>
      </c>
    </row>
    <row r="83" spans="1:38" x14ac:dyDescent="0.25">
      <c r="A83" s="214" t="s">
        <v>380</v>
      </c>
      <c r="B83" s="214">
        <v>0</v>
      </c>
      <c r="C83" s="214">
        <v>0</v>
      </c>
      <c r="D83" s="214">
        <v>0</v>
      </c>
      <c r="E83" s="214">
        <v>578.70000000000005</v>
      </c>
      <c r="F83" s="214">
        <v>661.4</v>
      </c>
      <c r="G83" s="214">
        <v>710</v>
      </c>
      <c r="H83" s="214">
        <v>843.3</v>
      </c>
      <c r="I83" s="214">
        <v>854.3</v>
      </c>
      <c r="J83" s="214">
        <v>738.5</v>
      </c>
      <c r="K83" s="214">
        <v>677.9</v>
      </c>
      <c r="L83" s="214">
        <v>677.9</v>
      </c>
      <c r="M83" s="214">
        <v>672.4</v>
      </c>
      <c r="N83" s="214">
        <v>694.5</v>
      </c>
      <c r="O83" s="214">
        <v>573.20000000000005</v>
      </c>
      <c r="P83" s="214">
        <v>557.79999999999995</v>
      </c>
      <c r="Q83" s="214">
        <v>485</v>
      </c>
      <c r="R83" s="214">
        <v>0</v>
      </c>
      <c r="S83" s="214">
        <v>0</v>
      </c>
      <c r="T83" s="214">
        <v>0</v>
      </c>
      <c r="U83" s="214">
        <v>540.1</v>
      </c>
      <c r="V83" s="214">
        <v>633.79999999999995</v>
      </c>
      <c r="W83" s="214">
        <v>716.5</v>
      </c>
      <c r="X83" s="214">
        <v>0</v>
      </c>
      <c r="Y83" s="214">
        <v>0</v>
      </c>
      <c r="Z83" s="214">
        <v>347.2</v>
      </c>
      <c r="AA83" s="214">
        <v>766.1</v>
      </c>
      <c r="AB83" s="214">
        <v>810.2</v>
      </c>
      <c r="AC83" s="214">
        <v>694.5</v>
      </c>
      <c r="AD83" s="214">
        <v>650.4</v>
      </c>
      <c r="AE83" s="214">
        <v>650.4</v>
      </c>
      <c r="AF83" s="214">
        <v>650.4</v>
      </c>
      <c r="AG83" s="214">
        <v>611.79999999999995</v>
      </c>
      <c r="AH83" s="214">
        <v>508.2</v>
      </c>
      <c r="AI83" s="214">
        <v>463</v>
      </c>
      <c r="AJ83" s="214">
        <v>440.9</v>
      </c>
      <c r="AK83" s="214">
        <v>0</v>
      </c>
      <c r="AL83" s="214">
        <v>0</v>
      </c>
    </row>
    <row r="84" spans="1:38" x14ac:dyDescent="0.25">
      <c r="A84" s="214" t="s">
        <v>381</v>
      </c>
      <c r="B84" s="214">
        <v>0</v>
      </c>
      <c r="C84" s="214">
        <v>0</v>
      </c>
      <c r="D84" s="214">
        <v>0</v>
      </c>
      <c r="E84" s="214">
        <v>1521.2</v>
      </c>
      <c r="F84" s="214">
        <v>1521.2</v>
      </c>
      <c r="G84" s="214">
        <v>1521.2</v>
      </c>
      <c r="H84" s="214">
        <v>1521.2</v>
      </c>
      <c r="I84" s="214">
        <v>821.2</v>
      </c>
      <c r="J84" s="214">
        <v>783.7</v>
      </c>
      <c r="K84" s="214">
        <v>783.7</v>
      </c>
      <c r="L84" s="214">
        <v>766.1</v>
      </c>
      <c r="M84" s="214">
        <v>665</v>
      </c>
      <c r="N84" s="214">
        <v>705.5</v>
      </c>
      <c r="O84" s="214">
        <v>620.6</v>
      </c>
      <c r="P84" s="214">
        <v>573.20000000000005</v>
      </c>
      <c r="Q84" s="214">
        <v>0</v>
      </c>
      <c r="R84" s="214">
        <v>0</v>
      </c>
      <c r="S84" s="214">
        <v>0</v>
      </c>
      <c r="T84" s="214">
        <v>0</v>
      </c>
      <c r="U84" s="214">
        <v>562.20000000000005</v>
      </c>
      <c r="V84" s="214">
        <v>622.79999999999995</v>
      </c>
      <c r="W84" s="214">
        <v>675</v>
      </c>
      <c r="X84" s="214">
        <v>0</v>
      </c>
      <c r="Y84" s="214">
        <v>0</v>
      </c>
      <c r="Z84" s="214">
        <v>341.7</v>
      </c>
      <c r="AA84" s="214">
        <v>804.7</v>
      </c>
      <c r="AB84" s="214">
        <v>820.1</v>
      </c>
      <c r="AC84" s="214">
        <v>820.1</v>
      </c>
      <c r="AD84" s="214">
        <v>820.1</v>
      </c>
      <c r="AE84" s="214">
        <v>755.1</v>
      </c>
      <c r="AF84" s="214">
        <v>644.9</v>
      </c>
      <c r="AG84" s="214">
        <v>617.29999999999995</v>
      </c>
      <c r="AH84" s="214">
        <v>617.29999999999995</v>
      </c>
      <c r="AI84" s="214">
        <v>507.1</v>
      </c>
      <c r="AJ84" s="214">
        <v>391.3</v>
      </c>
      <c r="AK84" s="214">
        <v>0</v>
      </c>
      <c r="AL84" s="214">
        <v>0</v>
      </c>
    </row>
    <row r="85" spans="1:38" x14ac:dyDescent="0.25">
      <c r="A85" s="214" t="s">
        <v>382</v>
      </c>
      <c r="B85" s="214">
        <v>0</v>
      </c>
      <c r="C85" s="214">
        <v>0</v>
      </c>
      <c r="D85" s="214">
        <v>0</v>
      </c>
      <c r="E85" s="214">
        <v>600.79999999999995</v>
      </c>
      <c r="F85" s="214">
        <v>705</v>
      </c>
      <c r="G85" s="214">
        <v>705.5</v>
      </c>
      <c r="H85" s="214">
        <v>850</v>
      </c>
      <c r="I85" s="214">
        <v>903.9</v>
      </c>
      <c r="J85" s="214">
        <v>881.8</v>
      </c>
      <c r="K85" s="214">
        <v>800</v>
      </c>
      <c r="L85" s="214">
        <v>705.5</v>
      </c>
      <c r="M85" s="214">
        <v>705.5</v>
      </c>
      <c r="N85" s="214">
        <v>639.29999999999995</v>
      </c>
      <c r="O85" s="214">
        <v>567.70000000000005</v>
      </c>
      <c r="P85" s="214">
        <v>418.9</v>
      </c>
      <c r="Q85" s="214">
        <v>314.2</v>
      </c>
      <c r="R85" s="214">
        <v>0</v>
      </c>
      <c r="S85" s="214">
        <v>0</v>
      </c>
      <c r="T85" s="214">
        <v>0</v>
      </c>
      <c r="U85" s="214">
        <v>589.70000000000005</v>
      </c>
      <c r="V85" s="214">
        <v>633.79999999999995</v>
      </c>
      <c r="W85" s="214">
        <v>674.6</v>
      </c>
      <c r="X85" s="214">
        <v>0</v>
      </c>
      <c r="Y85" s="214">
        <v>485</v>
      </c>
      <c r="Z85" s="214">
        <v>485</v>
      </c>
      <c r="AA85" s="214">
        <v>739.7</v>
      </c>
      <c r="AB85" s="214">
        <v>865.3</v>
      </c>
      <c r="AC85" s="214">
        <v>837.8</v>
      </c>
      <c r="AD85" s="214">
        <v>837.8</v>
      </c>
      <c r="AE85" s="214">
        <v>716.5</v>
      </c>
      <c r="AF85" s="214">
        <v>617.29999999999995</v>
      </c>
      <c r="AG85" s="214">
        <v>555</v>
      </c>
      <c r="AH85" s="214">
        <v>540.1</v>
      </c>
      <c r="AI85" s="214">
        <v>402.3</v>
      </c>
      <c r="AJ85" s="214">
        <v>314.2</v>
      </c>
      <c r="AK85" s="214">
        <v>0</v>
      </c>
      <c r="AL85" s="214">
        <v>0</v>
      </c>
    </row>
    <row r="86" spans="1:38" x14ac:dyDescent="0.25">
      <c r="A86" s="214" t="s">
        <v>211</v>
      </c>
      <c r="B86" s="214">
        <v>0</v>
      </c>
      <c r="C86" s="214">
        <v>0</v>
      </c>
      <c r="D86" s="214">
        <v>0</v>
      </c>
      <c r="E86" s="214">
        <v>0</v>
      </c>
      <c r="F86" s="214">
        <v>0</v>
      </c>
      <c r="G86" s="214">
        <v>0</v>
      </c>
      <c r="H86" s="214">
        <v>0</v>
      </c>
      <c r="I86" s="214">
        <v>0</v>
      </c>
      <c r="J86" s="214">
        <v>0</v>
      </c>
      <c r="K86" s="214">
        <v>0</v>
      </c>
      <c r="L86" s="214">
        <v>0</v>
      </c>
      <c r="M86" s="214">
        <v>0</v>
      </c>
      <c r="N86" s="214">
        <v>0</v>
      </c>
      <c r="O86" s="214">
        <v>0</v>
      </c>
      <c r="P86" s="214">
        <v>0</v>
      </c>
      <c r="Q86" s="214">
        <v>0</v>
      </c>
      <c r="R86" s="214">
        <v>0</v>
      </c>
      <c r="S86" s="214">
        <v>0</v>
      </c>
      <c r="T86" s="214">
        <v>0</v>
      </c>
      <c r="U86" s="214">
        <v>0</v>
      </c>
      <c r="V86" s="214">
        <v>0</v>
      </c>
      <c r="W86" s="214">
        <v>0</v>
      </c>
      <c r="X86" s="214">
        <v>104.7</v>
      </c>
      <c r="Y86" s="214">
        <v>104.7</v>
      </c>
      <c r="Z86" s="214">
        <v>104.7</v>
      </c>
      <c r="AA86" s="214">
        <v>0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  <c r="AG86" s="214">
        <v>0</v>
      </c>
      <c r="AH86" s="214">
        <v>0</v>
      </c>
      <c r="AI86" s="214">
        <v>0</v>
      </c>
      <c r="AJ86" s="214">
        <v>0</v>
      </c>
      <c r="AK86" s="214">
        <v>0</v>
      </c>
      <c r="AL86" s="214">
        <v>0</v>
      </c>
    </row>
    <row r="87" spans="1:38" x14ac:dyDescent="0.25">
      <c r="A87" s="214" t="s">
        <v>212</v>
      </c>
      <c r="B87" s="214">
        <v>0</v>
      </c>
      <c r="C87" s="214">
        <v>0</v>
      </c>
      <c r="D87" s="214">
        <v>0</v>
      </c>
      <c r="E87" s="214">
        <v>0</v>
      </c>
      <c r="F87" s="214">
        <v>0</v>
      </c>
      <c r="G87" s="214">
        <v>0</v>
      </c>
      <c r="H87" s="214">
        <v>0</v>
      </c>
      <c r="I87" s="214">
        <v>0</v>
      </c>
      <c r="J87" s="214">
        <v>0</v>
      </c>
      <c r="K87" s="214">
        <v>0</v>
      </c>
      <c r="L87" s="214">
        <v>0</v>
      </c>
      <c r="M87" s="214">
        <v>0</v>
      </c>
      <c r="N87" s="214">
        <v>0</v>
      </c>
      <c r="O87" s="214">
        <v>0</v>
      </c>
      <c r="P87" s="214">
        <v>0</v>
      </c>
      <c r="Q87" s="214">
        <v>0</v>
      </c>
      <c r="R87" s="214">
        <v>0</v>
      </c>
      <c r="S87" s="214">
        <v>0</v>
      </c>
      <c r="T87" s="214">
        <v>0</v>
      </c>
      <c r="U87" s="214">
        <v>0</v>
      </c>
      <c r="V87" s="214">
        <v>0</v>
      </c>
      <c r="W87" s="214">
        <v>0</v>
      </c>
      <c r="X87" s="214">
        <v>55.1</v>
      </c>
      <c r="Y87" s="214">
        <v>56.2</v>
      </c>
      <c r="Z87" s="214">
        <v>56.2</v>
      </c>
      <c r="AA87" s="214">
        <v>0</v>
      </c>
      <c r="AB87" s="214">
        <v>0</v>
      </c>
      <c r="AC87" s="214">
        <v>0</v>
      </c>
      <c r="AD87" s="214">
        <v>0</v>
      </c>
      <c r="AE87" s="214">
        <v>0</v>
      </c>
      <c r="AF87" s="214">
        <v>0</v>
      </c>
      <c r="AG87" s="214">
        <v>0</v>
      </c>
      <c r="AH87" s="214">
        <v>0</v>
      </c>
      <c r="AI87" s="214">
        <v>0</v>
      </c>
      <c r="AJ87" s="214">
        <v>0</v>
      </c>
      <c r="AK87" s="214">
        <v>0</v>
      </c>
      <c r="AL87" s="214">
        <v>0</v>
      </c>
    </row>
    <row r="88" spans="1:38" x14ac:dyDescent="0.25">
      <c r="A88" s="214" t="s">
        <v>213</v>
      </c>
      <c r="B88" s="214">
        <v>0</v>
      </c>
      <c r="C88" s="214">
        <v>0</v>
      </c>
      <c r="D88" s="214">
        <v>0</v>
      </c>
      <c r="E88" s="214">
        <v>0</v>
      </c>
      <c r="F88" s="214">
        <v>0</v>
      </c>
      <c r="G88" s="214">
        <v>0</v>
      </c>
      <c r="H88" s="214">
        <v>0</v>
      </c>
      <c r="I88" s="214">
        <v>0</v>
      </c>
      <c r="J88" s="214">
        <v>0</v>
      </c>
      <c r="K88" s="214">
        <v>0</v>
      </c>
      <c r="L88" s="214">
        <v>0</v>
      </c>
      <c r="M88" s="214">
        <v>0</v>
      </c>
      <c r="N88" s="214">
        <v>0</v>
      </c>
      <c r="O88" s="214">
        <v>0</v>
      </c>
      <c r="P88" s="214">
        <v>0</v>
      </c>
      <c r="Q88" s="214">
        <v>0</v>
      </c>
      <c r="R88" s="214">
        <v>0</v>
      </c>
      <c r="S88" s="214">
        <v>0</v>
      </c>
      <c r="T88" s="214">
        <v>0</v>
      </c>
      <c r="U88" s="214">
        <v>0</v>
      </c>
      <c r="V88" s="214">
        <v>0</v>
      </c>
      <c r="W88" s="214">
        <v>0</v>
      </c>
      <c r="X88" s="214">
        <v>132.30000000000001</v>
      </c>
      <c r="Y88" s="214">
        <v>143.30000000000001</v>
      </c>
      <c r="Z88" s="214">
        <v>143.30000000000001</v>
      </c>
      <c r="AA88" s="214">
        <v>0</v>
      </c>
      <c r="AB88" s="214">
        <v>0</v>
      </c>
      <c r="AC88" s="214">
        <v>0</v>
      </c>
      <c r="AD88" s="214">
        <v>0</v>
      </c>
      <c r="AE88" s="214">
        <v>0</v>
      </c>
      <c r="AF88" s="214">
        <v>0</v>
      </c>
      <c r="AG88" s="214">
        <v>0</v>
      </c>
      <c r="AH88" s="214">
        <v>0</v>
      </c>
      <c r="AI88" s="214">
        <v>0</v>
      </c>
      <c r="AJ88" s="214">
        <v>0</v>
      </c>
      <c r="AK88" s="214">
        <v>0</v>
      </c>
      <c r="AL88" s="214">
        <v>0</v>
      </c>
    </row>
    <row r="89" spans="1:38" x14ac:dyDescent="0.25">
      <c r="A89" s="214" t="s">
        <v>214</v>
      </c>
      <c r="B89" s="214">
        <v>0</v>
      </c>
      <c r="C89" s="214">
        <v>0</v>
      </c>
      <c r="D89" s="214">
        <v>0</v>
      </c>
      <c r="E89" s="214">
        <v>0</v>
      </c>
      <c r="F89" s="214">
        <v>0</v>
      </c>
      <c r="G89" s="214">
        <v>0</v>
      </c>
      <c r="H89" s="214">
        <v>0</v>
      </c>
      <c r="I89" s="214">
        <v>0</v>
      </c>
      <c r="J89" s="214">
        <v>0</v>
      </c>
      <c r="K89" s="214">
        <v>0</v>
      </c>
      <c r="L89" s="214">
        <v>0</v>
      </c>
      <c r="M89" s="214">
        <v>0</v>
      </c>
      <c r="N89" s="214">
        <v>0</v>
      </c>
      <c r="O89" s="214">
        <v>0</v>
      </c>
      <c r="P89" s="214">
        <v>0</v>
      </c>
      <c r="Q89" s="214">
        <v>0</v>
      </c>
      <c r="R89" s="214">
        <v>0</v>
      </c>
      <c r="S89" s="214">
        <v>0</v>
      </c>
      <c r="T89" s="214">
        <v>0</v>
      </c>
      <c r="U89" s="214">
        <v>0</v>
      </c>
      <c r="V89" s="214">
        <v>0</v>
      </c>
      <c r="W89" s="214">
        <v>0</v>
      </c>
      <c r="X89" s="214">
        <v>270.10000000000002</v>
      </c>
      <c r="Y89" s="214">
        <v>298.7</v>
      </c>
      <c r="Z89" s="214">
        <v>298.7</v>
      </c>
      <c r="AA89" s="214">
        <v>0</v>
      </c>
      <c r="AB89" s="214">
        <v>0</v>
      </c>
      <c r="AC89" s="214">
        <v>0</v>
      </c>
      <c r="AD89" s="214">
        <v>0</v>
      </c>
      <c r="AE89" s="214">
        <v>0</v>
      </c>
      <c r="AF89" s="214">
        <v>0</v>
      </c>
      <c r="AG89" s="214">
        <v>0</v>
      </c>
      <c r="AH89" s="214">
        <v>0</v>
      </c>
      <c r="AI89" s="214">
        <v>0</v>
      </c>
      <c r="AJ89" s="214">
        <v>0</v>
      </c>
      <c r="AK89" s="214">
        <v>0</v>
      </c>
      <c r="AL89" s="214">
        <v>0</v>
      </c>
    </row>
    <row r="90" spans="1:38" x14ac:dyDescent="0.25">
      <c r="A90" s="214" t="s">
        <v>704</v>
      </c>
      <c r="B90" s="214">
        <v>99.2</v>
      </c>
      <c r="C90" s="214">
        <v>0</v>
      </c>
      <c r="D90" s="214">
        <v>0</v>
      </c>
      <c r="E90" s="214">
        <v>0</v>
      </c>
      <c r="F90" s="214">
        <v>0</v>
      </c>
      <c r="G90" s="214">
        <v>0</v>
      </c>
      <c r="H90" s="214">
        <v>0</v>
      </c>
      <c r="I90" s="214">
        <v>0</v>
      </c>
      <c r="J90" s="214">
        <v>0</v>
      </c>
      <c r="K90" s="214">
        <v>0</v>
      </c>
      <c r="L90" s="214">
        <v>0</v>
      </c>
      <c r="M90" s="214">
        <v>0</v>
      </c>
      <c r="N90" s="214">
        <v>0</v>
      </c>
      <c r="O90" s="214">
        <v>0</v>
      </c>
      <c r="P90" s="214">
        <v>0</v>
      </c>
      <c r="Q90" s="214">
        <v>0</v>
      </c>
      <c r="R90" s="214">
        <v>0</v>
      </c>
      <c r="S90" s="214">
        <v>0</v>
      </c>
      <c r="T90" s="214">
        <v>0</v>
      </c>
      <c r="U90" s="214">
        <v>0</v>
      </c>
      <c r="V90" s="214">
        <v>0</v>
      </c>
      <c r="W90" s="214">
        <v>0</v>
      </c>
      <c r="X90" s="214">
        <v>133.4</v>
      </c>
      <c r="Y90" s="214">
        <v>133.4</v>
      </c>
      <c r="Z90" s="214">
        <v>133.4</v>
      </c>
      <c r="AA90" s="214">
        <v>0</v>
      </c>
      <c r="AB90" s="214">
        <v>0</v>
      </c>
      <c r="AC90" s="214">
        <v>0</v>
      </c>
      <c r="AD90" s="214">
        <v>0</v>
      </c>
      <c r="AE90" s="214">
        <v>0</v>
      </c>
      <c r="AF90" s="214">
        <v>0</v>
      </c>
      <c r="AG90" s="214">
        <v>0</v>
      </c>
      <c r="AH90" s="214">
        <v>0</v>
      </c>
      <c r="AI90" s="214">
        <v>0</v>
      </c>
      <c r="AJ90" s="214">
        <v>0</v>
      </c>
      <c r="AK90" s="214">
        <v>0</v>
      </c>
      <c r="AL90" s="214">
        <v>0</v>
      </c>
    </row>
    <row r="91" spans="1:38" x14ac:dyDescent="0.25">
      <c r="A91" s="214" t="s">
        <v>703</v>
      </c>
      <c r="B91" s="214">
        <v>55.1</v>
      </c>
      <c r="C91" s="214">
        <v>0</v>
      </c>
      <c r="D91" s="214">
        <v>0</v>
      </c>
      <c r="E91" s="214">
        <v>0</v>
      </c>
      <c r="F91" s="214">
        <v>0</v>
      </c>
      <c r="G91" s="214">
        <v>0</v>
      </c>
      <c r="H91" s="214">
        <v>0</v>
      </c>
      <c r="I91" s="214">
        <v>0</v>
      </c>
      <c r="J91" s="214">
        <v>0</v>
      </c>
      <c r="K91" s="214">
        <v>0</v>
      </c>
      <c r="L91" s="214">
        <v>0</v>
      </c>
      <c r="M91" s="214">
        <v>0</v>
      </c>
      <c r="N91" s="214">
        <v>0</v>
      </c>
      <c r="O91" s="214">
        <v>0</v>
      </c>
      <c r="P91" s="214">
        <v>0</v>
      </c>
      <c r="Q91" s="214">
        <v>0</v>
      </c>
      <c r="R91" s="214">
        <v>0</v>
      </c>
      <c r="S91" s="214">
        <v>0</v>
      </c>
      <c r="T91" s="214">
        <v>0</v>
      </c>
      <c r="U91" s="214">
        <v>0</v>
      </c>
      <c r="V91" s="214">
        <v>0</v>
      </c>
      <c r="W91" s="214">
        <v>0</v>
      </c>
      <c r="X91" s="214">
        <v>68.3</v>
      </c>
      <c r="Y91" s="214">
        <v>68.3</v>
      </c>
      <c r="Z91" s="214">
        <v>68.3</v>
      </c>
      <c r="AA91" s="214">
        <v>0</v>
      </c>
      <c r="AB91" s="214">
        <v>0</v>
      </c>
      <c r="AC91" s="214">
        <v>0</v>
      </c>
      <c r="AD91" s="214">
        <v>0</v>
      </c>
      <c r="AE91" s="214">
        <v>0</v>
      </c>
      <c r="AF91" s="214">
        <v>0</v>
      </c>
      <c r="AG91" s="214">
        <v>0</v>
      </c>
      <c r="AH91" s="214">
        <v>0</v>
      </c>
      <c r="AI91" s="214">
        <v>0</v>
      </c>
      <c r="AJ91" s="214">
        <v>0</v>
      </c>
      <c r="AK91" s="214">
        <v>0</v>
      </c>
      <c r="AL91" s="214">
        <v>0</v>
      </c>
    </row>
    <row r="92" spans="1:38" x14ac:dyDescent="0.25">
      <c r="A92" s="214" t="s">
        <v>702</v>
      </c>
      <c r="B92" s="214">
        <v>126.8</v>
      </c>
      <c r="C92" s="214">
        <v>0</v>
      </c>
      <c r="D92" s="214">
        <v>0</v>
      </c>
      <c r="E92" s="214">
        <v>0</v>
      </c>
      <c r="F92" s="214">
        <v>0</v>
      </c>
      <c r="G92" s="214">
        <v>0</v>
      </c>
      <c r="H92" s="214">
        <v>0</v>
      </c>
      <c r="I92" s="214">
        <v>0</v>
      </c>
      <c r="J92" s="214">
        <v>0</v>
      </c>
      <c r="K92" s="214">
        <v>0</v>
      </c>
      <c r="L92" s="214">
        <v>0</v>
      </c>
      <c r="M92" s="214">
        <v>0</v>
      </c>
      <c r="N92" s="214">
        <v>0</v>
      </c>
      <c r="O92" s="214">
        <v>0</v>
      </c>
      <c r="P92" s="214">
        <v>0</v>
      </c>
      <c r="Q92" s="214">
        <v>0</v>
      </c>
      <c r="R92" s="214">
        <v>0</v>
      </c>
      <c r="S92" s="214">
        <v>0</v>
      </c>
      <c r="T92" s="214">
        <v>0</v>
      </c>
      <c r="U92" s="214">
        <v>0</v>
      </c>
      <c r="V92" s="214">
        <v>0</v>
      </c>
      <c r="W92" s="214">
        <v>0</v>
      </c>
      <c r="X92" s="214">
        <v>167.6</v>
      </c>
      <c r="Y92" s="214">
        <v>167.6</v>
      </c>
      <c r="Z92" s="214">
        <v>167.6</v>
      </c>
      <c r="AA92" s="214">
        <v>0</v>
      </c>
      <c r="AB92" s="214">
        <v>0</v>
      </c>
      <c r="AC92" s="214">
        <v>0</v>
      </c>
      <c r="AD92" s="214">
        <v>0</v>
      </c>
      <c r="AE92" s="214">
        <v>0</v>
      </c>
      <c r="AF92" s="214">
        <v>0</v>
      </c>
      <c r="AG92" s="214">
        <v>0</v>
      </c>
      <c r="AH92" s="214">
        <v>0</v>
      </c>
      <c r="AI92" s="214">
        <v>0</v>
      </c>
      <c r="AJ92" s="214">
        <v>0</v>
      </c>
      <c r="AK92" s="214">
        <v>0</v>
      </c>
      <c r="AL92" s="214">
        <v>0</v>
      </c>
    </row>
    <row r="93" spans="1:38" x14ac:dyDescent="0.25">
      <c r="A93" s="214" t="s">
        <v>701</v>
      </c>
      <c r="B93" s="214">
        <v>281.10000000000002</v>
      </c>
      <c r="C93" s="214">
        <v>0</v>
      </c>
      <c r="D93" s="214">
        <v>0</v>
      </c>
      <c r="E93" s="214">
        <v>0</v>
      </c>
      <c r="F93" s="214">
        <v>0</v>
      </c>
      <c r="G93" s="214">
        <v>0</v>
      </c>
      <c r="H93" s="214">
        <v>0</v>
      </c>
      <c r="I93" s="214">
        <v>0</v>
      </c>
      <c r="J93" s="214">
        <v>0</v>
      </c>
      <c r="K93" s="214">
        <v>0</v>
      </c>
      <c r="L93" s="214">
        <v>0</v>
      </c>
      <c r="M93" s="214">
        <v>0</v>
      </c>
      <c r="N93" s="214">
        <v>0</v>
      </c>
      <c r="O93" s="214">
        <v>0</v>
      </c>
      <c r="P93" s="214">
        <v>0</v>
      </c>
      <c r="Q93" s="214">
        <v>0</v>
      </c>
      <c r="R93" s="214">
        <v>0</v>
      </c>
      <c r="S93" s="214">
        <v>0</v>
      </c>
      <c r="T93" s="214">
        <v>0</v>
      </c>
      <c r="U93" s="214">
        <v>0</v>
      </c>
      <c r="V93" s="214">
        <v>0</v>
      </c>
      <c r="W93" s="214">
        <v>0</v>
      </c>
      <c r="X93" s="214">
        <v>367.1</v>
      </c>
      <c r="Y93" s="214">
        <v>367.1</v>
      </c>
      <c r="Z93" s="214">
        <v>367.1</v>
      </c>
      <c r="AA93" s="214">
        <v>0</v>
      </c>
      <c r="AB93" s="214">
        <v>0</v>
      </c>
      <c r="AC93" s="214">
        <v>0</v>
      </c>
      <c r="AD93" s="214">
        <v>0</v>
      </c>
      <c r="AE93" s="214">
        <v>0</v>
      </c>
      <c r="AF93" s="214">
        <v>0</v>
      </c>
      <c r="AG93" s="214">
        <v>0</v>
      </c>
      <c r="AH93" s="214">
        <v>0</v>
      </c>
      <c r="AI93" s="214">
        <v>0</v>
      </c>
      <c r="AJ93" s="214">
        <v>0</v>
      </c>
      <c r="AK93" s="214">
        <v>0</v>
      </c>
      <c r="AL93" s="214">
        <v>0</v>
      </c>
    </row>
    <row r="94" spans="1:38" x14ac:dyDescent="0.25">
      <c r="A94" s="214" t="s">
        <v>700</v>
      </c>
      <c r="B94" s="214">
        <v>0</v>
      </c>
      <c r="C94" s="214">
        <v>0</v>
      </c>
      <c r="D94" s="214">
        <v>0</v>
      </c>
      <c r="E94" s="214">
        <v>0</v>
      </c>
      <c r="F94" s="214">
        <v>0</v>
      </c>
      <c r="G94" s="214">
        <v>0</v>
      </c>
      <c r="H94" s="214">
        <v>0</v>
      </c>
      <c r="I94" s="214">
        <v>0</v>
      </c>
      <c r="J94" s="214">
        <v>0</v>
      </c>
      <c r="K94" s="214">
        <v>0</v>
      </c>
      <c r="L94" s="214">
        <v>0</v>
      </c>
      <c r="M94" s="214">
        <v>0</v>
      </c>
      <c r="N94" s="214">
        <v>0</v>
      </c>
      <c r="O94" s="214">
        <v>0</v>
      </c>
      <c r="P94" s="214">
        <v>0</v>
      </c>
      <c r="Q94" s="214">
        <v>0</v>
      </c>
      <c r="R94" s="214">
        <v>0</v>
      </c>
      <c r="S94" s="214">
        <v>0</v>
      </c>
      <c r="T94" s="214">
        <v>0</v>
      </c>
      <c r="U94" s="214">
        <v>0</v>
      </c>
      <c r="V94" s="214">
        <v>0</v>
      </c>
      <c r="W94" s="214">
        <v>0</v>
      </c>
      <c r="X94" s="214">
        <v>104.7</v>
      </c>
      <c r="Y94" s="214">
        <v>155.4</v>
      </c>
      <c r="Z94" s="214">
        <v>155.4</v>
      </c>
      <c r="AA94" s="214">
        <v>0</v>
      </c>
      <c r="AB94" s="214">
        <v>0</v>
      </c>
      <c r="AC94" s="214">
        <v>0</v>
      </c>
      <c r="AD94" s="214">
        <v>0</v>
      </c>
      <c r="AE94" s="214">
        <v>0</v>
      </c>
      <c r="AF94" s="214">
        <v>0</v>
      </c>
      <c r="AG94" s="214">
        <v>0</v>
      </c>
      <c r="AH94" s="214">
        <v>0</v>
      </c>
      <c r="AI94" s="214">
        <v>0</v>
      </c>
      <c r="AJ94" s="214">
        <v>0</v>
      </c>
      <c r="AK94" s="214">
        <v>0</v>
      </c>
      <c r="AL94" s="214">
        <v>0</v>
      </c>
    </row>
    <row r="95" spans="1:38" x14ac:dyDescent="0.25">
      <c r="A95" s="214" t="s">
        <v>699</v>
      </c>
      <c r="B95" s="214">
        <v>0</v>
      </c>
      <c r="C95" s="214">
        <v>0</v>
      </c>
      <c r="D95" s="214">
        <v>0</v>
      </c>
      <c r="E95" s="214">
        <v>0</v>
      </c>
      <c r="F95" s="214">
        <v>0</v>
      </c>
      <c r="G95" s="214">
        <v>0</v>
      </c>
      <c r="H95" s="214">
        <v>0</v>
      </c>
      <c r="I95" s="214">
        <v>0</v>
      </c>
      <c r="J95" s="214">
        <v>0</v>
      </c>
      <c r="K95" s="214">
        <v>0</v>
      </c>
      <c r="L95" s="214">
        <v>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14">
        <v>0</v>
      </c>
      <c r="S95" s="214">
        <v>0</v>
      </c>
      <c r="T95" s="214">
        <v>0</v>
      </c>
      <c r="U95" s="214">
        <v>0</v>
      </c>
      <c r="V95" s="214">
        <v>0</v>
      </c>
      <c r="W95" s="214">
        <v>0</v>
      </c>
      <c r="X95" s="214">
        <v>66.099999999999994</v>
      </c>
      <c r="Y95" s="214">
        <v>99.2</v>
      </c>
      <c r="Z95" s="214">
        <v>99.2</v>
      </c>
      <c r="AA95" s="214">
        <v>0</v>
      </c>
      <c r="AB95" s="214">
        <v>0</v>
      </c>
      <c r="AC95" s="214">
        <v>0</v>
      </c>
      <c r="AD95" s="214">
        <v>0</v>
      </c>
      <c r="AE95" s="214">
        <v>0</v>
      </c>
      <c r="AF95" s="214">
        <v>0</v>
      </c>
      <c r="AG95" s="214">
        <v>0</v>
      </c>
      <c r="AH95" s="214">
        <v>0</v>
      </c>
      <c r="AI95" s="214">
        <v>0</v>
      </c>
      <c r="AJ95" s="214">
        <v>0</v>
      </c>
      <c r="AK95" s="214">
        <v>0</v>
      </c>
      <c r="AL95" s="214">
        <v>0</v>
      </c>
    </row>
    <row r="96" spans="1:38" x14ac:dyDescent="0.25">
      <c r="A96" s="214" t="s">
        <v>698</v>
      </c>
      <c r="B96" s="214">
        <v>0</v>
      </c>
      <c r="C96" s="214">
        <v>0</v>
      </c>
      <c r="D96" s="214">
        <v>0</v>
      </c>
      <c r="E96" s="214">
        <v>0</v>
      </c>
      <c r="F96" s="214">
        <v>0</v>
      </c>
      <c r="G96" s="214">
        <v>0</v>
      </c>
      <c r="H96" s="214">
        <v>0</v>
      </c>
      <c r="I96" s="214">
        <v>0</v>
      </c>
      <c r="J96" s="214">
        <v>0</v>
      </c>
      <c r="K96" s="214">
        <v>0</v>
      </c>
      <c r="L96" s="214">
        <v>0</v>
      </c>
      <c r="M96" s="214">
        <v>0</v>
      </c>
      <c r="N96" s="214">
        <v>0</v>
      </c>
      <c r="O96" s="214">
        <v>0</v>
      </c>
      <c r="P96" s="214">
        <v>0</v>
      </c>
      <c r="Q96" s="214">
        <v>0</v>
      </c>
      <c r="R96" s="214">
        <v>0</v>
      </c>
      <c r="S96" s="214">
        <v>0</v>
      </c>
      <c r="T96" s="214">
        <v>0</v>
      </c>
      <c r="U96" s="214">
        <v>0</v>
      </c>
      <c r="V96" s="214">
        <v>0</v>
      </c>
      <c r="W96" s="214">
        <v>0</v>
      </c>
      <c r="X96" s="214">
        <v>159.80000000000001</v>
      </c>
      <c r="Y96" s="214">
        <v>192.9</v>
      </c>
      <c r="Z96" s="214">
        <v>200</v>
      </c>
      <c r="AA96" s="214">
        <v>0</v>
      </c>
      <c r="AB96" s="214">
        <v>0</v>
      </c>
      <c r="AC96" s="214">
        <v>0</v>
      </c>
      <c r="AD96" s="214">
        <v>0</v>
      </c>
      <c r="AE96" s="214">
        <v>0</v>
      </c>
      <c r="AF96" s="214">
        <v>0</v>
      </c>
      <c r="AG96" s="214">
        <v>0</v>
      </c>
      <c r="AH96" s="214">
        <v>0</v>
      </c>
      <c r="AI96" s="214">
        <v>0</v>
      </c>
      <c r="AJ96" s="214">
        <v>0</v>
      </c>
      <c r="AK96" s="214">
        <v>0</v>
      </c>
      <c r="AL96" s="214">
        <v>0</v>
      </c>
    </row>
    <row r="97" spans="1:38" x14ac:dyDescent="0.25">
      <c r="A97" s="214" t="s">
        <v>697</v>
      </c>
      <c r="B97" s="214">
        <v>0</v>
      </c>
      <c r="C97" s="214">
        <v>0</v>
      </c>
      <c r="D97" s="214">
        <v>0</v>
      </c>
      <c r="E97" s="214">
        <v>0</v>
      </c>
      <c r="F97" s="214">
        <v>0</v>
      </c>
      <c r="G97" s="214">
        <v>0</v>
      </c>
      <c r="H97" s="214">
        <v>0</v>
      </c>
      <c r="I97" s="214">
        <v>0</v>
      </c>
      <c r="J97" s="214">
        <v>0</v>
      </c>
      <c r="K97" s="214">
        <v>0</v>
      </c>
      <c r="L97" s="214">
        <v>0</v>
      </c>
      <c r="M97" s="214">
        <v>0</v>
      </c>
      <c r="N97" s="214">
        <v>0</v>
      </c>
      <c r="O97" s="214">
        <v>0</v>
      </c>
      <c r="P97" s="214">
        <v>0</v>
      </c>
      <c r="Q97" s="214">
        <v>0</v>
      </c>
      <c r="R97" s="214">
        <v>0</v>
      </c>
      <c r="S97" s="214">
        <v>0</v>
      </c>
      <c r="T97" s="214">
        <v>0</v>
      </c>
      <c r="U97" s="214">
        <v>0</v>
      </c>
      <c r="V97" s="214">
        <v>0</v>
      </c>
      <c r="W97" s="214">
        <v>0</v>
      </c>
      <c r="X97" s="214">
        <v>325.2</v>
      </c>
      <c r="Y97" s="214">
        <v>446.4</v>
      </c>
      <c r="Z97" s="214">
        <v>446.4</v>
      </c>
      <c r="AA97" s="214">
        <v>0</v>
      </c>
      <c r="AB97" s="214">
        <v>0</v>
      </c>
      <c r="AC97" s="214">
        <v>0</v>
      </c>
      <c r="AD97" s="214">
        <v>0</v>
      </c>
      <c r="AE97" s="214">
        <v>0</v>
      </c>
      <c r="AF97" s="214">
        <v>0</v>
      </c>
      <c r="AG97" s="214">
        <v>0</v>
      </c>
      <c r="AH97" s="214">
        <v>0</v>
      </c>
      <c r="AI97" s="214">
        <v>0</v>
      </c>
      <c r="AJ97" s="214">
        <v>0</v>
      </c>
      <c r="AK97" s="214">
        <v>0</v>
      </c>
      <c r="AL97" s="214">
        <v>0</v>
      </c>
    </row>
    <row r="98" spans="1:38" x14ac:dyDescent="0.25">
      <c r="A98" s="214" t="s">
        <v>383</v>
      </c>
      <c r="B98" s="214">
        <v>0</v>
      </c>
      <c r="C98" s="214">
        <v>0</v>
      </c>
      <c r="D98" s="214">
        <v>0</v>
      </c>
      <c r="E98" s="214">
        <v>203.9</v>
      </c>
      <c r="F98" s="214">
        <v>303.10000000000002</v>
      </c>
      <c r="G98" s="214">
        <v>303.10000000000002</v>
      </c>
      <c r="H98" s="214">
        <v>303.10000000000002</v>
      </c>
      <c r="I98" s="214">
        <v>275.60000000000002</v>
      </c>
      <c r="J98" s="214">
        <v>0</v>
      </c>
      <c r="K98" s="214">
        <v>0</v>
      </c>
      <c r="L98" s="214">
        <v>0</v>
      </c>
      <c r="M98" s="214">
        <v>0</v>
      </c>
      <c r="N98" s="214">
        <v>0</v>
      </c>
      <c r="O98" s="214">
        <v>0</v>
      </c>
      <c r="P98" s="214">
        <v>0</v>
      </c>
      <c r="Q98" s="214">
        <v>0</v>
      </c>
      <c r="R98" s="214">
        <v>0</v>
      </c>
      <c r="S98" s="214">
        <v>0</v>
      </c>
      <c r="T98" s="214">
        <v>0</v>
      </c>
      <c r="U98" s="214">
        <v>215</v>
      </c>
      <c r="V98" s="214">
        <v>221.6</v>
      </c>
      <c r="W98" s="214">
        <v>221.6</v>
      </c>
      <c r="X98" s="214">
        <v>0</v>
      </c>
      <c r="Y98" s="214">
        <v>143.30000000000001</v>
      </c>
      <c r="Z98" s="214">
        <v>165.3</v>
      </c>
      <c r="AA98" s="214">
        <v>221.6</v>
      </c>
      <c r="AB98" s="214">
        <v>187.4</v>
      </c>
      <c r="AC98" s="214">
        <v>0</v>
      </c>
      <c r="AD98" s="214">
        <v>0</v>
      </c>
      <c r="AE98" s="214">
        <v>0</v>
      </c>
      <c r="AF98" s="214">
        <v>0</v>
      </c>
      <c r="AG98" s="214">
        <v>0</v>
      </c>
      <c r="AH98" s="214">
        <v>0</v>
      </c>
      <c r="AI98" s="214">
        <v>0</v>
      </c>
      <c r="AJ98" s="214">
        <v>0</v>
      </c>
      <c r="AK98" s="214">
        <v>0</v>
      </c>
      <c r="AL98" s="214">
        <v>0</v>
      </c>
    </row>
    <row r="99" spans="1:38" x14ac:dyDescent="0.25">
      <c r="A99" s="214" t="s">
        <v>384</v>
      </c>
      <c r="B99" s="214">
        <v>0</v>
      </c>
      <c r="C99" s="214">
        <v>0</v>
      </c>
      <c r="D99" s="214">
        <v>0</v>
      </c>
      <c r="E99" s="214">
        <v>104.7</v>
      </c>
      <c r="F99" s="214">
        <v>170.9</v>
      </c>
      <c r="G99" s="214">
        <v>183</v>
      </c>
      <c r="H99" s="214">
        <v>183</v>
      </c>
      <c r="I99" s="214">
        <v>137.80000000000001</v>
      </c>
      <c r="J99" s="214">
        <v>0</v>
      </c>
      <c r="K99" s="214">
        <v>0</v>
      </c>
      <c r="L99" s="214">
        <v>0</v>
      </c>
      <c r="M99" s="214">
        <v>0</v>
      </c>
      <c r="N99" s="214">
        <v>0</v>
      </c>
      <c r="O99" s="214">
        <v>0</v>
      </c>
      <c r="P99" s="214">
        <v>0</v>
      </c>
      <c r="Q99" s="214">
        <v>0</v>
      </c>
      <c r="R99" s="214">
        <v>0</v>
      </c>
      <c r="S99" s="214">
        <v>0</v>
      </c>
      <c r="T99" s="214">
        <v>0</v>
      </c>
      <c r="U99" s="214">
        <v>115.7</v>
      </c>
      <c r="V99" s="214">
        <v>137.80000000000001</v>
      </c>
      <c r="W99" s="214">
        <v>154.30000000000001</v>
      </c>
      <c r="X99" s="214">
        <v>0</v>
      </c>
      <c r="Y99" s="214">
        <v>71.7</v>
      </c>
      <c r="Z99" s="214">
        <v>94.8</v>
      </c>
      <c r="AA99" s="214">
        <v>154.30000000000001</v>
      </c>
      <c r="AB99" s="214">
        <v>137.80000000000001</v>
      </c>
      <c r="AC99" s="214">
        <v>0</v>
      </c>
      <c r="AD99" s="214">
        <v>0</v>
      </c>
      <c r="AE99" s="214">
        <v>0</v>
      </c>
      <c r="AF99" s="214">
        <v>0</v>
      </c>
      <c r="AG99" s="214">
        <v>0</v>
      </c>
      <c r="AH99" s="214">
        <v>0</v>
      </c>
      <c r="AI99" s="214">
        <v>0</v>
      </c>
      <c r="AJ99" s="214">
        <v>0</v>
      </c>
      <c r="AK99" s="214">
        <v>0</v>
      </c>
      <c r="AL99" s="214">
        <v>0</v>
      </c>
    </row>
    <row r="100" spans="1:38" x14ac:dyDescent="0.25">
      <c r="A100" s="214" t="s">
        <v>385</v>
      </c>
      <c r="B100" s="214">
        <v>0</v>
      </c>
      <c r="C100" s="214">
        <v>0</v>
      </c>
      <c r="D100" s="214">
        <v>0</v>
      </c>
      <c r="E100" s="214">
        <v>203.9</v>
      </c>
      <c r="F100" s="214">
        <v>314.2</v>
      </c>
      <c r="G100" s="214">
        <v>314.2</v>
      </c>
      <c r="H100" s="214">
        <v>314.2</v>
      </c>
      <c r="I100" s="214">
        <v>314.2</v>
      </c>
      <c r="J100" s="214">
        <v>0</v>
      </c>
      <c r="K100" s="214">
        <v>0</v>
      </c>
      <c r="L100" s="214">
        <v>0</v>
      </c>
      <c r="M100" s="214">
        <v>0</v>
      </c>
      <c r="N100" s="214">
        <v>0</v>
      </c>
      <c r="O100" s="214">
        <v>0</v>
      </c>
      <c r="P100" s="214">
        <v>0</v>
      </c>
      <c r="Q100" s="214">
        <v>0</v>
      </c>
      <c r="R100" s="214">
        <v>0</v>
      </c>
      <c r="S100" s="214">
        <v>0</v>
      </c>
      <c r="T100" s="214">
        <v>0</v>
      </c>
      <c r="U100" s="214">
        <v>231.5</v>
      </c>
      <c r="V100" s="214">
        <v>275.60000000000002</v>
      </c>
      <c r="W100" s="214">
        <v>275.60000000000002</v>
      </c>
      <c r="X100" s="214">
        <v>0</v>
      </c>
      <c r="Y100" s="214">
        <v>165.3</v>
      </c>
      <c r="Z100" s="214">
        <v>203.9</v>
      </c>
      <c r="AA100" s="214">
        <v>275.60000000000002</v>
      </c>
      <c r="AB100" s="214">
        <v>275.60000000000002</v>
      </c>
      <c r="AC100" s="214">
        <v>0</v>
      </c>
      <c r="AD100" s="214">
        <v>0</v>
      </c>
      <c r="AE100" s="214">
        <v>0</v>
      </c>
      <c r="AF100" s="214">
        <v>0</v>
      </c>
      <c r="AG100" s="214">
        <v>0</v>
      </c>
      <c r="AH100" s="214">
        <v>0</v>
      </c>
      <c r="AI100" s="214">
        <v>0</v>
      </c>
      <c r="AJ100" s="214">
        <v>0</v>
      </c>
      <c r="AK100" s="214">
        <v>0</v>
      </c>
      <c r="AL100" s="214">
        <v>0</v>
      </c>
    </row>
    <row r="101" spans="1:38" x14ac:dyDescent="0.25">
      <c r="A101" s="214" t="s">
        <v>386</v>
      </c>
      <c r="B101" s="214">
        <v>0</v>
      </c>
      <c r="C101" s="214">
        <v>0</v>
      </c>
      <c r="D101" s="214">
        <v>0</v>
      </c>
      <c r="E101" s="214">
        <v>622.79999999999995</v>
      </c>
      <c r="F101" s="214">
        <v>755.1</v>
      </c>
      <c r="G101" s="214">
        <v>767.2</v>
      </c>
      <c r="H101" s="214">
        <v>767.2</v>
      </c>
      <c r="I101" s="214">
        <v>705.5</v>
      </c>
      <c r="J101" s="214">
        <v>457.5</v>
      </c>
      <c r="K101" s="214">
        <v>0</v>
      </c>
      <c r="L101" s="214">
        <v>0</v>
      </c>
      <c r="M101" s="214">
        <v>0</v>
      </c>
      <c r="N101" s="214">
        <v>0</v>
      </c>
      <c r="O101" s="214">
        <v>0</v>
      </c>
      <c r="P101" s="214">
        <v>0</v>
      </c>
      <c r="Q101" s="214">
        <v>0</v>
      </c>
      <c r="R101" s="214">
        <v>0</v>
      </c>
      <c r="S101" s="214">
        <v>0</v>
      </c>
      <c r="T101" s="214">
        <v>0</v>
      </c>
      <c r="U101" s="214">
        <v>556.70000000000005</v>
      </c>
      <c r="V101" s="214">
        <v>600.79999999999995</v>
      </c>
      <c r="W101" s="214">
        <v>611.79999999999995</v>
      </c>
      <c r="X101" s="214">
        <v>0</v>
      </c>
      <c r="Y101" s="214">
        <v>380.3</v>
      </c>
      <c r="Z101" s="214">
        <v>457.5</v>
      </c>
      <c r="AA101" s="214">
        <v>611.79999999999995</v>
      </c>
      <c r="AB101" s="214">
        <v>600.79999999999995</v>
      </c>
      <c r="AC101" s="214">
        <v>457.5</v>
      </c>
      <c r="AD101" s="214">
        <v>523.6</v>
      </c>
      <c r="AE101" s="214">
        <v>0</v>
      </c>
      <c r="AF101" s="214">
        <v>0</v>
      </c>
      <c r="AG101" s="214">
        <v>0</v>
      </c>
      <c r="AH101" s="214">
        <v>0</v>
      </c>
      <c r="AI101" s="214">
        <v>0</v>
      </c>
      <c r="AJ101" s="214">
        <v>0</v>
      </c>
      <c r="AK101" s="214">
        <v>0</v>
      </c>
      <c r="AL101" s="214">
        <v>0</v>
      </c>
    </row>
    <row r="102" spans="1:38" x14ac:dyDescent="0.25">
      <c r="A102" s="214" t="s">
        <v>387</v>
      </c>
      <c r="B102" s="214">
        <v>0</v>
      </c>
      <c r="C102" s="214">
        <v>0</v>
      </c>
      <c r="D102" s="214">
        <v>115.7</v>
      </c>
      <c r="E102" s="214">
        <v>292.10000000000002</v>
      </c>
      <c r="F102" s="214">
        <v>303.10000000000002</v>
      </c>
      <c r="G102" s="214">
        <v>308.60000000000002</v>
      </c>
      <c r="H102" s="214">
        <v>336.2</v>
      </c>
      <c r="I102" s="214">
        <v>363.8</v>
      </c>
      <c r="J102" s="214">
        <v>292.10000000000002</v>
      </c>
      <c r="K102" s="214">
        <v>292.10000000000002</v>
      </c>
      <c r="L102" s="214">
        <v>270.10000000000002</v>
      </c>
      <c r="M102" s="214">
        <v>248</v>
      </c>
      <c r="N102" s="214">
        <v>226</v>
      </c>
      <c r="O102" s="214">
        <v>226</v>
      </c>
      <c r="P102" s="214">
        <v>220.5</v>
      </c>
      <c r="Q102" s="214">
        <v>0</v>
      </c>
      <c r="R102" s="214">
        <v>0</v>
      </c>
      <c r="S102" s="214">
        <v>0</v>
      </c>
      <c r="T102" s="214">
        <v>0</v>
      </c>
      <c r="U102" s="214">
        <v>231.5</v>
      </c>
      <c r="V102" s="214">
        <v>231.5</v>
      </c>
      <c r="W102" s="214">
        <v>231.5</v>
      </c>
      <c r="X102" s="214">
        <v>104.7</v>
      </c>
      <c r="Y102" s="214">
        <v>104.7</v>
      </c>
      <c r="Z102" s="214">
        <v>215</v>
      </c>
      <c r="AA102" s="214">
        <v>275.60000000000002</v>
      </c>
      <c r="AB102" s="214">
        <v>314.2</v>
      </c>
      <c r="AC102" s="214">
        <v>275.60000000000002</v>
      </c>
      <c r="AD102" s="214">
        <v>226</v>
      </c>
      <c r="AE102" s="214">
        <v>226</v>
      </c>
      <c r="AF102" s="214">
        <v>194</v>
      </c>
      <c r="AG102" s="214">
        <v>194</v>
      </c>
      <c r="AH102" s="214">
        <v>194</v>
      </c>
      <c r="AI102" s="214">
        <v>187.4</v>
      </c>
      <c r="AJ102" s="214">
        <v>0</v>
      </c>
      <c r="AK102" s="214">
        <v>0</v>
      </c>
      <c r="AL102" s="214">
        <v>0</v>
      </c>
    </row>
    <row r="103" spans="1:38" x14ac:dyDescent="0.25">
      <c r="A103" s="214" t="s">
        <v>388</v>
      </c>
      <c r="B103" s="214">
        <v>0</v>
      </c>
      <c r="C103" s="214">
        <v>0</v>
      </c>
      <c r="D103" s="214">
        <v>82.7</v>
      </c>
      <c r="E103" s="214">
        <v>159.80000000000001</v>
      </c>
      <c r="F103" s="214">
        <v>181.9</v>
      </c>
      <c r="G103" s="214">
        <v>181.9</v>
      </c>
      <c r="H103" s="214">
        <v>203.9</v>
      </c>
      <c r="I103" s="214">
        <v>203.9</v>
      </c>
      <c r="J103" s="214">
        <v>170</v>
      </c>
      <c r="K103" s="214">
        <v>170</v>
      </c>
      <c r="L103" s="214">
        <v>143.30000000000001</v>
      </c>
      <c r="M103" s="214">
        <v>143.30000000000001</v>
      </c>
      <c r="N103" s="214">
        <v>110.2</v>
      </c>
      <c r="O103" s="214">
        <v>110.2</v>
      </c>
      <c r="P103" s="214">
        <v>99.2</v>
      </c>
      <c r="Q103" s="214">
        <v>0</v>
      </c>
      <c r="R103" s="214">
        <v>0</v>
      </c>
      <c r="S103" s="214">
        <v>0</v>
      </c>
      <c r="T103" s="214">
        <v>0</v>
      </c>
      <c r="U103" s="214">
        <v>143.30000000000001</v>
      </c>
      <c r="V103" s="214">
        <v>143.30000000000001</v>
      </c>
      <c r="W103" s="214">
        <v>165.3</v>
      </c>
      <c r="X103" s="214">
        <v>60.6</v>
      </c>
      <c r="Y103" s="214">
        <v>60.6</v>
      </c>
      <c r="Z103" s="214">
        <v>143.30000000000001</v>
      </c>
      <c r="AA103" s="214">
        <v>187.4</v>
      </c>
      <c r="AB103" s="214">
        <v>187.4</v>
      </c>
      <c r="AC103" s="214">
        <v>143.30000000000001</v>
      </c>
      <c r="AD103" s="214">
        <v>105.8</v>
      </c>
      <c r="AE103" s="214">
        <v>105.8</v>
      </c>
      <c r="AF103" s="214">
        <v>99.2</v>
      </c>
      <c r="AG103" s="214">
        <v>99.2</v>
      </c>
      <c r="AH103" s="214">
        <v>99.2</v>
      </c>
      <c r="AI103" s="214">
        <v>88.2</v>
      </c>
      <c r="AJ103" s="214">
        <v>0</v>
      </c>
      <c r="AK103" s="214">
        <v>0</v>
      </c>
      <c r="AL103" s="214">
        <v>0</v>
      </c>
    </row>
    <row r="104" spans="1:38" x14ac:dyDescent="0.25">
      <c r="A104" s="214" t="s">
        <v>389</v>
      </c>
      <c r="B104" s="214">
        <v>0</v>
      </c>
      <c r="C104" s="214">
        <v>0</v>
      </c>
      <c r="D104" s="214">
        <v>170.9</v>
      </c>
      <c r="E104" s="214">
        <v>325.2</v>
      </c>
      <c r="F104" s="214">
        <v>325.2</v>
      </c>
      <c r="G104" s="214">
        <v>352.7</v>
      </c>
      <c r="H104" s="214">
        <v>358.3</v>
      </c>
      <c r="I104" s="214">
        <v>358.3</v>
      </c>
      <c r="J104" s="214">
        <v>336.2</v>
      </c>
      <c r="K104" s="214">
        <v>336.2</v>
      </c>
      <c r="L104" s="214">
        <v>319.7</v>
      </c>
      <c r="M104" s="214">
        <v>314.2</v>
      </c>
      <c r="N104" s="214">
        <v>281.10000000000002</v>
      </c>
      <c r="O104" s="214">
        <v>281.10000000000002</v>
      </c>
      <c r="P104" s="214">
        <v>281.10000000000002</v>
      </c>
      <c r="Q104" s="214">
        <v>0</v>
      </c>
      <c r="R104" s="214">
        <v>0</v>
      </c>
      <c r="S104" s="214">
        <v>0</v>
      </c>
      <c r="T104" s="214">
        <v>0</v>
      </c>
      <c r="U104" s="214">
        <v>275.60000000000002</v>
      </c>
      <c r="V104" s="214">
        <v>275.60000000000002</v>
      </c>
      <c r="W104" s="214">
        <v>292.10000000000002</v>
      </c>
      <c r="X104" s="214">
        <v>159.80000000000001</v>
      </c>
      <c r="Y104" s="214">
        <v>159.80000000000001</v>
      </c>
      <c r="Z104" s="214">
        <v>270.10000000000002</v>
      </c>
      <c r="AA104" s="214">
        <v>332.9</v>
      </c>
      <c r="AB104" s="214">
        <v>402.3</v>
      </c>
      <c r="AC104" s="214">
        <v>325.2</v>
      </c>
      <c r="AD104" s="214">
        <v>264.60000000000002</v>
      </c>
      <c r="AE104" s="214">
        <v>264.60000000000002</v>
      </c>
      <c r="AF104" s="214">
        <v>264.60000000000002</v>
      </c>
      <c r="AG104" s="214">
        <v>264.60000000000002</v>
      </c>
      <c r="AH104" s="214">
        <v>264.60000000000002</v>
      </c>
      <c r="AI104" s="214">
        <v>264.60000000000002</v>
      </c>
      <c r="AJ104" s="214">
        <v>0</v>
      </c>
      <c r="AK104" s="214">
        <v>0</v>
      </c>
      <c r="AL104" s="214">
        <v>0</v>
      </c>
    </row>
    <row r="105" spans="1:38" x14ac:dyDescent="0.25">
      <c r="A105" s="214" t="s">
        <v>390</v>
      </c>
      <c r="B105" s="214">
        <v>0</v>
      </c>
      <c r="C105" s="214">
        <v>534.6</v>
      </c>
      <c r="D105" s="214">
        <v>534.6</v>
      </c>
      <c r="E105" s="214">
        <v>771.6</v>
      </c>
      <c r="F105" s="214">
        <v>766.1</v>
      </c>
      <c r="G105" s="214">
        <v>815.7</v>
      </c>
      <c r="H105" s="214">
        <v>865.3</v>
      </c>
      <c r="I105" s="214">
        <v>887.4</v>
      </c>
      <c r="J105" s="214">
        <v>788.2</v>
      </c>
      <c r="K105" s="214">
        <v>788.2</v>
      </c>
      <c r="L105" s="214">
        <v>722</v>
      </c>
      <c r="M105" s="214">
        <v>700</v>
      </c>
      <c r="N105" s="214">
        <v>600.79999999999995</v>
      </c>
      <c r="O105" s="214">
        <v>600.79999999999995</v>
      </c>
      <c r="P105" s="214">
        <v>600.79999999999995</v>
      </c>
      <c r="Q105" s="214">
        <v>0</v>
      </c>
      <c r="R105" s="214">
        <v>0</v>
      </c>
      <c r="S105" s="214">
        <v>0</v>
      </c>
      <c r="T105" s="214">
        <v>0</v>
      </c>
      <c r="U105" s="214">
        <v>628.29999999999995</v>
      </c>
      <c r="V105" s="214">
        <v>628.29999999999995</v>
      </c>
      <c r="W105" s="214">
        <v>644.9</v>
      </c>
      <c r="X105" s="214">
        <v>325.2</v>
      </c>
      <c r="Y105" s="214">
        <v>391.3</v>
      </c>
      <c r="Z105" s="214">
        <v>628.29999999999995</v>
      </c>
      <c r="AA105" s="214">
        <v>738.5</v>
      </c>
      <c r="AB105" s="214">
        <v>876.3</v>
      </c>
      <c r="AC105" s="214">
        <v>738.5</v>
      </c>
      <c r="AD105" s="214">
        <v>584.20000000000005</v>
      </c>
      <c r="AE105" s="214">
        <v>584.20000000000005</v>
      </c>
      <c r="AF105" s="214">
        <v>553.4</v>
      </c>
      <c r="AG105" s="214">
        <v>553.4</v>
      </c>
      <c r="AH105" s="214">
        <v>553.4</v>
      </c>
      <c r="AI105" s="214">
        <v>540.1</v>
      </c>
      <c r="AJ105" s="214">
        <v>0</v>
      </c>
      <c r="AK105" s="214">
        <v>0</v>
      </c>
      <c r="AL105" s="214">
        <v>0</v>
      </c>
    </row>
    <row r="106" spans="1:38" x14ac:dyDescent="0.25">
      <c r="A106" s="214" t="s">
        <v>391</v>
      </c>
      <c r="B106" s="214">
        <v>0</v>
      </c>
      <c r="C106" s="214">
        <v>0</v>
      </c>
      <c r="D106" s="214">
        <v>220.5</v>
      </c>
      <c r="E106" s="214">
        <v>352.7</v>
      </c>
      <c r="F106" s="214">
        <v>391.3</v>
      </c>
      <c r="G106" s="214">
        <v>396.8</v>
      </c>
      <c r="H106" s="214">
        <v>427.7</v>
      </c>
      <c r="I106" s="214">
        <v>427.7</v>
      </c>
      <c r="J106" s="214">
        <v>402.3</v>
      </c>
      <c r="K106" s="214">
        <v>402.3</v>
      </c>
      <c r="L106" s="214">
        <v>286.60000000000002</v>
      </c>
      <c r="M106" s="214">
        <v>264.60000000000002</v>
      </c>
      <c r="N106" s="214">
        <v>253.5</v>
      </c>
      <c r="O106" s="214">
        <v>220.5</v>
      </c>
      <c r="P106" s="214">
        <v>167.6</v>
      </c>
      <c r="Q106" s="214">
        <v>167.6</v>
      </c>
      <c r="R106" s="214">
        <v>0</v>
      </c>
      <c r="S106" s="214">
        <v>0</v>
      </c>
      <c r="T106" s="214">
        <v>80</v>
      </c>
      <c r="U106" s="214">
        <v>226</v>
      </c>
      <c r="V106" s="214">
        <v>237</v>
      </c>
      <c r="W106" s="214">
        <v>259</v>
      </c>
      <c r="X106" s="214">
        <v>44.1</v>
      </c>
      <c r="Y106" s="214">
        <v>165.3</v>
      </c>
      <c r="Z106" s="214">
        <v>176.4</v>
      </c>
      <c r="AA106" s="214">
        <v>314.2</v>
      </c>
      <c r="AB106" s="214">
        <v>345</v>
      </c>
      <c r="AC106" s="214">
        <v>345</v>
      </c>
      <c r="AD106" s="214">
        <v>345</v>
      </c>
      <c r="AE106" s="214">
        <v>336.2</v>
      </c>
      <c r="AF106" s="214">
        <v>220.5</v>
      </c>
      <c r="AG106" s="214">
        <v>220.5</v>
      </c>
      <c r="AH106" s="214">
        <v>187.4</v>
      </c>
      <c r="AI106" s="214">
        <v>176.4</v>
      </c>
      <c r="AJ106" s="214">
        <v>143.30000000000001</v>
      </c>
      <c r="AK106" s="214">
        <v>0</v>
      </c>
      <c r="AL106" s="214">
        <v>0</v>
      </c>
    </row>
    <row r="107" spans="1:38" x14ac:dyDescent="0.25">
      <c r="A107" s="214" t="s">
        <v>392</v>
      </c>
      <c r="B107" s="214">
        <v>0</v>
      </c>
      <c r="C107" s="214">
        <v>0</v>
      </c>
      <c r="D107" s="214">
        <v>115.7</v>
      </c>
      <c r="E107" s="214">
        <v>226</v>
      </c>
      <c r="F107" s="214">
        <v>226</v>
      </c>
      <c r="G107" s="214">
        <v>226</v>
      </c>
      <c r="H107" s="214">
        <v>292.10000000000002</v>
      </c>
      <c r="I107" s="214">
        <v>292.10000000000002</v>
      </c>
      <c r="J107" s="214">
        <v>242.5</v>
      </c>
      <c r="K107" s="214">
        <v>203.9</v>
      </c>
      <c r="L107" s="214">
        <v>170.9</v>
      </c>
      <c r="M107" s="214">
        <v>165.3</v>
      </c>
      <c r="N107" s="214">
        <v>165.3</v>
      </c>
      <c r="O107" s="214">
        <v>112.4</v>
      </c>
      <c r="P107" s="214">
        <v>112.4</v>
      </c>
      <c r="Q107" s="214">
        <v>112.4</v>
      </c>
      <c r="R107" s="214">
        <v>0</v>
      </c>
      <c r="S107" s="214">
        <v>0</v>
      </c>
      <c r="T107" s="214">
        <v>50</v>
      </c>
      <c r="U107" s="214">
        <v>154.30000000000001</v>
      </c>
      <c r="V107" s="214">
        <v>154.30000000000001</v>
      </c>
      <c r="W107" s="214">
        <v>176.4</v>
      </c>
      <c r="X107" s="214">
        <v>44.1</v>
      </c>
      <c r="Y107" s="214">
        <v>99.2</v>
      </c>
      <c r="Z107" s="214">
        <v>104.7</v>
      </c>
      <c r="AA107" s="214">
        <v>181.9</v>
      </c>
      <c r="AB107" s="214">
        <v>215</v>
      </c>
      <c r="AC107" s="214">
        <v>215</v>
      </c>
      <c r="AD107" s="214">
        <v>177.5</v>
      </c>
      <c r="AE107" s="214">
        <v>177.5</v>
      </c>
      <c r="AF107" s="214">
        <v>143.30000000000001</v>
      </c>
      <c r="AG107" s="214">
        <v>143.30000000000001</v>
      </c>
      <c r="AH107" s="214">
        <v>115.7</v>
      </c>
      <c r="AI107" s="214">
        <v>115.7</v>
      </c>
      <c r="AJ107" s="214">
        <v>93.7</v>
      </c>
      <c r="AK107" s="214">
        <v>0</v>
      </c>
      <c r="AL107" s="214">
        <v>0</v>
      </c>
    </row>
    <row r="108" spans="1:38" x14ac:dyDescent="0.25">
      <c r="A108" s="214" t="s">
        <v>393</v>
      </c>
      <c r="B108" s="214">
        <v>0</v>
      </c>
      <c r="C108" s="214">
        <v>0</v>
      </c>
      <c r="D108" s="214">
        <v>198.4</v>
      </c>
      <c r="E108" s="214">
        <v>374.8</v>
      </c>
      <c r="F108" s="214">
        <v>403.4</v>
      </c>
      <c r="G108" s="214">
        <v>396.8</v>
      </c>
      <c r="H108" s="214">
        <v>403.4</v>
      </c>
      <c r="I108" s="214">
        <v>424.4</v>
      </c>
      <c r="J108" s="214">
        <v>374.8</v>
      </c>
      <c r="K108" s="214">
        <v>374.8</v>
      </c>
      <c r="L108" s="214">
        <v>347.2</v>
      </c>
      <c r="M108" s="214">
        <v>319.7</v>
      </c>
      <c r="N108" s="214">
        <v>272.3</v>
      </c>
      <c r="O108" s="214">
        <v>226</v>
      </c>
      <c r="P108" s="214">
        <v>194</v>
      </c>
      <c r="Q108" s="214">
        <v>194</v>
      </c>
      <c r="R108" s="214">
        <v>0</v>
      </c>
      <c r="S108" s="214">
        <v>0</v>
      </c>
      <c r="T108" s="214">
        <v>135</v>
      </c>
      <c r="U108" s="214">
        <v>292.10000000000002</v>
      </c>
      <c r="V108" s="214">
        <v>292.10000000000002</v>
      </c>
      <c r="W108" s="214">
        <v>325</v>
      </c>
      <c r="X108" s="214">
        <v>77.2</v>
      </c>
      <c r="Y108" s="214">
        <v>243.6</v>
      </c>
      <c r="Z108" s="214">
        <v>209.4</v>
      </c>
      <c r="AA108" s="214">
        <v>367.1</v>
      </c>
      <c r="AB108" s="214">
        <v>413.4</v>
      </c>
      <c r="AC108" s="214">
        <v>413.4</v>
      </c>
      <c r="AD108" s="214">
        <v>358.3</v>
      </c>
      <c r="AE108" s="214">
        <v>348.3</v>
      </c>
      <c r="AF108" s="214">
        <v>292.10000000000002</v>
      </c>
      <c r="AG108" s="214">
        <v>292.10000000000002</v>
      </c>
      <c r="AH108" s="214">
        <v>254.6</v>
      </c>
      <c r="AI108" s="214">
        <v>254.6</v>
      </c>
      <c r="AJ108" s="214">
        <v>176.4</v>
      </c>
      <c r="AK108" s="214">
        <v>0</v>
      </c>
      <c r="AL108" s="214">
        <v>0</v>
      </c>
    </row>
    <row r="109" spans="1:38" x14ac:dyDescent="0.25">
      <c r="A109" s="214" t="s">
        <v>394</v>
      </c>
      <c r="B109" s="214">
        <v>0</v>
      </c>
      <c r="C109" s="214">
        <v>0</v>
      </c>
      <c r="D109" s="214">
        <v>534.6</v>
      </c>
      <c r="E109" s="214">
        <v>876.3</v>
      </c>
      <c r="F109" s="214">
        <v>937</v>
      </c>
      <c r="G109" s="214">
        <v>964.5</v>
      </c>
      <c r="H109" s="214">
        <v>1105.5999999999999</v>
      </c>
      <c r="I109" s="214">
        <v>1105.5999999999999</v>
      </c>
      <c r="J109" s="214">
        <v>975.5</v>
      </c>
      <c r="K109" s="214">
        <v>970</v>
      </c>
      <c r="L109" s="214">
        <v>771.6</v>
      </c>
      <c r="M109" s="214">
        <v>744.1</v>
      </c>
      <c r="N109" s="214">
        <v>644.79999999999995</v>
      </c>
      <c r="O109" s="214">
        <v>551.20000000000005</v>
      </c>
      <c r="P109" s="214">
        <v>465.2</v>
      </c>
      <c r="Q109" s="214">
        <v>465.2</v>
      </c>
      <c r="R109" s="214">
        <v>0</v>
      </c>
      <c r="S109" s="214">
        <v>0</v>
      </c>
      <c r="T109" s="214">
        <v>265</v>
      </c>
      <c r="U109" s="214">
        <v>650.4</v>
      </c>
      <c r="V109" s="214">
        <v>661.4</v>
      </c>
      <c r="W109" s="214">
        <v>722</v>
      </c>
      <c r="X109" s="214">
        <v>165.3</v>
      </c>
      <c r="Y109" s="214">
        <v>508.2</v>
      </c>
      <c r="Z109" s="214">
        <v>463</v>
      </c>
      <c r="AA109" s="214">
        <v>801.4</v>
      </c>
      <c r="AB109" s="214">
        <v>948</v>
      </c>
      <c r="AC109" s="214">
        <v>948</v>
      </c>
      <c r="AD109" s="214">
        <v>868.6</v>
      </c>
      <c r="AE109" s="214">
        <v>862</v>
      </c>
      <c r="AF109" s="214">
        <v>650.4</v>
      </c>
      <c r="AG109" s="214">
        <v>650.4</v>
      </c>
      <c r="AH109" s="214">
        <v>545.6</v>
      </c>
      <c r="AI109" s="214">
        <v>497.1</v>
      </c>
      <c r="AJ109" s="214">
        <v>413.4</v>
      </c>
      <c r="AK109" s="214">
        <v>0</v>
      </c>
      <c r="AL109" s="214">
        <v>0</v>
      </c>
    </row>
    <row r="110" spans="1:38" x14ac:dyDescent="0.25">
      <c r="A110" s="214" t="s">
        <v>395</v>
      </c>
      <c r="B110" s="214">
        <v>0</v>
      </c>
      <c r="C110" s="214">
        <v>0</v>
      </c>
      <c r="D110" s="214">
        <v>0</v>
      </c>
      <c r="E110" s="214">
        <v>363.8</v>
      </c>
      <c r="F110" s="214">
        <v>440.9</v>
      </c>
      <c r="G110" s="214">
        <v>451.9</v>
      </c>
      <c r="H110" s="214">
        <v>451.9</v>
      </c>
      <c r="I110" s="214">
        <v>451.9</v>
      </c>
      <c r="J110" s="214">
        <v>341.7</v>
      </c>
      <c r="K110" s="214">
        <v>330.7</v>
      </c>
      <c r="L110" s="214">
        <v>330.7</v>
      </c>
      <c r="M110" s="214">
        <v>270.10000000000002</v>
      </c>
      <c r="N110" s="214">
        <v>226</v>
      </c>
      <c r="O110" s="214">
        <v>165.3</v>
      </c>
      <c r="P110" s="214">
        <v>165.3</v>
      </c>
      <c r="Q110" s="214">
        <v>165.3</v>
      </c>
      <c r="R110" s="214">
        <v>0</v>
      </c>
      <c r="S110" s="214">
        <v>0</v>
      </c>
      <c r="T110" s="214">
        <v>0</v>
      </c>
      <c r="U110" s="214">
        <v>286.60000000000002</v>
      </c>
      <c r="V110" s="214">
        <v>315.3</v>
      </c>
      <c r="W110" s="214">
        <v>315.3</v>
      </c>
      <c r="X110" s="214">
        <v>0</v>
      </c>
      <c r="Y110" s="214">
        <v>170.9</v>
      </c>
      <c r="Z110" s="214">
        <v>226</v>
      </c>
      <c r="AA110" s="214">
        <v>336.2</v>
      </c>
      <c r="AB110" s="214">
        <v>384.7</v>
      </c>
      <c r="AC110" s="214">
        <v>314.2</v>
      </c>
      <c r="AD110" s="214">
        <v>292.10000000000002</v>
      </c>
      <c r="AE110" s="214">
        <v>276.7</v>
      </c>
      <c r="AF110" s="214">
        <v>198.4</v>
      </c>
      <c r="AG110" s="214">
        <v>192.9</v>
      </c>
      <c r="AH110" s="214">
        <v>187.4</v>
      </c>
      <c r="AI110" s="214">
        <v>154.30000000000001</v>
      </c>
      <c r="AJ110" s="214">
        <v>137.80000000000001</v>
      </c>
      <c r="AK110" s="214">
        <v>0</v>
      </c>
      <c r="AL110" s="214">
        <v>0</v>
      </c>
    </row>
    <row r="111" spans="1:38" x14ac:dyDescent="0.25">
      <c r="A111" s="214" t="s">
        <v>396</v>
      </c>
      <c r="B111" s="214">
        <v>0</v>
      </c>
      <c r="C111" s="214">
        <v>0</v>
      </c>
      <c r="D111" s="214">
        <v>0</v>
      </c>
      <c r="E111" s="214">
        <v>183</v>
      </c>
      <c r="F111" s="214">
        <v>242.5</v>
      </c>
      <c r="G111" s="214">
        <v>253.5</v>
      </c>
      <c r="H111" s="214">
        <v>303.10000000000002</v>
      </c>
      <c r="I111" s="214">
        <v>303.10000000000002</v>
      </c>
      <c r="J111" s="214">
        <v>264.60000000000002</v>
      </c>
      <c r="K111" s="214">
        <v>215</v>
      </c>
      <c r="L111" s="214">
        <v>215</v>
      </c>
      <c r="M111" s="214">
        <v>215</v>
      </c>
      <c r="N111" s="214">
        <v>157.6</v>
      </c>
      <c r="O111" s="214">
        <v>157.6</v>
      </c>
      <c r="P111" s="214">
        <v>157.6</v>
      </c>
      <c r="Q111" s="214">
        <v>157.6</v>
      </c>
      <c r="R111" s="214">
        <v>0</v>
      </c>
      <c r="S111" s="214">
        <v>0</v>
      </c>
      <c r="T111" s="214">
        <v>0</v>
      </c>
      <c r="U111" s="214">
        <v>165.3</v>
      </c>
      <c r="V111" s="214">
        <v>187.4</v>
      </c>
      <c r="W111" s="214">
        <v>209.4</v>
      </c>
      <c r="X111" s="214">
        <v>0</v>
      </c>
      <c r="Y111" s="214">
        <v>99.2</v>
      </c>
      <c r="Z111" s="214">
        <v>138.9</v>
      </c>
      <c r="AA111" s="214">
        <v>209.4</v>
      </c>
      <c r="AB111" s="214">
        <v>220.5</v>
      </c>
      <c r="AC111" s="214">
        <v>176.4</v>
      </c>
      <c r="AD111" s="214">
        <v>176.4</v>
      </c>
      <c r="AE111" s="214">
        <v>176.4</v>
      </c>
      <c r="AF111" s="214">
        <v>143.30000000000001</v>
      </c>
      <c r="AG111" s="214">
        <v>132.30000000000001</v>
      </c>
      <c r="AH111" s="214">
        <v>104.7</v>
      </c>
      <c r="AI111" s="214">
        <v>99.2</v>
      </c>
      <c r="AJ111" s="214">
        <v>88.2</v>
      </c>
      <c r="AK111" s="214">
        <v>0</v>
      </c>
      <c r="AL111" s="214">
        <v>0</v>
      </c>
    </row>
    <row r="112" spans="1:38" x14ac:dyDescent="0.25">
      <c r="A112" s="214" t="s">
        <v>397</v>
      </c>
      <c r="B112" s="214">
        <v>0</v>
      </c>
      <c r="C112" s="214">
        <v>0</v>
      </c>
      <c r="D112" s="214">
        <v>0</v>
      </c>
      <c r="E112" s="214">
        <v>385.8</v>
      </c>
      <c r="F112" s="214">
        <v>404.5</v>
      </c>
      <c r="G112" s="214">
        <v>424.4</v>
      </c>
      <c r="H112" s="214">
        <v>424.4</v>
      </c>
      <c r="I112" s="214">
        <v>435.4</v>
      </c>
      <c r="J112" s="214">
        <v>402.3</v>
      </c>
      <c r="K112" s="214">
        <v>391.3</v>
      </c>
      <c r="L112" s="214">
        <v>391.3</v>
      </c>
      <c r="M112" s="214">
        <v>325.2</v>
      </c>
      <c r="N112" s="214">
        <v>292.10000000000002</v>
      </c>
      <c r="O112" s="214">
        <v>209.4</v>
      </c>
      <c r="P112" s="214">
        <v>203.9</v>
      </c>
      <c r="Q112" s="214">
        <v>198.4</v>
      </c>
      <c r="R112" s="214">
        <v>0</v>
      </c>
      <c r="S112" s="214">
        <v>0</v>
      </c>
      <c r="T112" s="214">
        <v>0</v>
      </c>
      <c r="U112" s="214">
        <v>303.10000000000002</v>
      </c>
      <c r="V112" s="214">
        <v>369.3</v>
      </c>
      <c r="W112" s="214">
        <v>374.8</v>
      </c>
      <c r="X112" s="214">
        <v>0</v>
      </c>
      <c r="Y112" s="214">
        <v>203.9</v>
      </c>
      <c r="Z112" s="214">
        <v>249.1</v>
      </c>
      <c r="AA112" s="214">
        <v>407.9</v>
      </c>
      <c r="AB112" s="214">
        <v>425.5</v>
      </c>
      <c r="AC112" s="214">
        <v>358.3</v>
      </c>
      <c r="AD112" s="214">
        <v>358.3</v>
      </c>
      <c r="AE112" s="214">
        <v>332.9</v>
      </c>
      <c r="AF112" s="214">
        <v>275.60000000000002</v>
      </c>
      <c r="AG112" s="214">
        <v>264.60000000000002</v>
      </c>
      <c r="AH112" s="214">
        <v>253.5</v>
      </c>
      <c r="AI112" s="214">
        <v>215</v>
      </c>
      <c r="AJ112" s="214">
        <v>170.9</v>
      </c>
      <c r="AK112" s="214">
        <v>0</v>
      </c>
      <c r="AL112" s="214">
        <v>0</v>
      </c>
    </row>
    <row r="113" spans="1:38" x14ac:dyDescent="0.25">
      <c r="A113" s="214" t="s">
        <v>398</v>
      </c>
      <c r="B113" s="214">
        <v>0</v>
      </c>
      <c r="C113" s="214">
        <v>0</v>
      </c>
      <c r="D113" s="214">
        <v>391.3</v>
      </c>
      <c r="E113" s="214">
        <v>909.4</v>
      </c>
      <c r="F113" s="214">
        <v>1048.3</v>
      </c>
      <c r="G113" s="214">
        <v>1102.3</v>
      </c>
      <c r="H113" s="214">
        <v>1151.9000000000001</v>
      </c>
      <c r="I113" s="214">
        <v>1151.9000000000001</v>
      </c>
      <c r="J113" s="214">
        <v>981.1</v>
      </c>
      <c r="K113" s="214">
        <v>876.3</v>
      </c>
      <c r="L113" s="214">
        <v>865.3</v>
      </c>
      <c r="M113" s="214">
        <v>804.7</v>
      </c>
      <c r="N113" s="214">
        <v>644.9</v>
      </c>
      <c r="O113" s="214">
        <v>457.5</v>
      </c>
      <c r="P113" s="214">
        <v>457.5</v>
      </c>
      <c r="Q113" s="214">
        <v>457.5</v>
      </c>
      <c r="R113" s="214">
        <v>0</v>
      </c>
      <c r="S113" s="214">
        <v>0</v>
      </c>
      <c r="T113" s="214">
        <v>0</v>
      </c>
      <c r="U113" s="214">
        <v>722</v>
      </c>
      <c r="V113" s="214">
        <v>815.7</v>
      </c>
      <c r="W113" s="214">
        <v>859.8</v>
      </c>
      <c r="X113" s="214">
        <v>391.3</v>
      </c>
      <c r="Y113" s="214">
        <v>474</v>
      </c>
      <c r="Z113" s="214">
        <v>578.70000000000005</v>
      </c>
      <c r="AA113" s="214">
        <v>921.5</v>
      </c>
      <c r="AB113" s="214">
        <v>1020.7</v>
      </c>
      <c r="AC113" s="214">
        <v>816.8</v>
      </c>
      <c r="AD113" s="214">
        <v>766.1</v>
      </c>
      <c r="AE113" s="214">
        <v>739.7</v>
      </c>
      <c r="AF113" s="214">
        <v>617.29999999999995</v>
      </c>
      <c r="AG113" s="214">
        <v>589.70000000000005</v>
      </c>
      <c r="AH113" s="214">
        <v>545.6</v>
      </c>
      <c r="AI113" s="214">
        <v>468.5</v>
      </c>
      <c r="AJ113" s="214">
        <v>396.8</v>
      </c>
      <c r="AK113" s="214">
        <v>0</v>
      </c>
      <c r="AL113" s="214">
        <v>0</v>
      </c>
    </row>
    <row r="114" spans="1:38" x14ac:dyDescent="0.25">
      <c r="A114" s="214" t="s">
        <v>399</v>
      </c>
      <c r="B114" s="214">
        <v>0</v>
      </c>
      <c r="C114" s="214">
        <v>82.7</v>
      </c>
      <c r="D114" s="214">
        <v>0</v>
      </c>
      <c r="E114" s="214">
        <v>363.8</v>
      </c>
      <c r="F114" s="214">
        <v>402.3</v>
      </c>
      <c r="G114" s="214">
        <v>446.4</v>
      </c>
      <c r="H114" s="214">
        <v>446.4</v>
      </c>
      <c r="I114" s="214">
        <v>474</v>
      </c>
      <c r="J114" s="214">
        <v>440.9</v>
      </c>
      <c r="K114" s="214">
        <v>413.4</v>
      </c>
      <c r="L114" s="214">
        <v>385.8</v>
      </c>
      <c r="M114" s="214">
        <v>358.3</v>
      </c>
      <c r="N114" s="214">
        <v>242.5</v>
      </c>
      <c r="O114" s="214">
        <v>242.5</v>
      </c>
      <c r="P114" s="214">
        <v>198.4</v>
      </c>
      <c r="Q114" s="214">
        <v>148.80000000000001</v>
      </c>
      <c r="R114" s="214">
        <v>0</v>
      </c>
      <c r="S114" s="214">
        <v>0</v>
      </c>
      <c r="T114" s="214">
        <v>0</v>
      </c>
      <c r="U114" s="214">
        <v>321.89999999999998</v>
      </c>
      <c r="V114" s="214">
        <v>321.89999999999998</v>
      </c>
      <c r="W114" s="214">
        <v>336.2</v>
      </c>
      <c r="X114" s="214">
        <v>0</v>
      </c>
      <c r="Y114" s="214">
        <v>149.9</v>
      </c>
      <c r="Z114" s="214">
        <v>237</v>
      </c>
      <c r="AA114" s="214">
        <v>352.7</v>
      </c>
      <c r="AB114" s="214">
        <v>396.8</v>
      </c>
      <c r="AC114" s="214">
        <v>341.7</v>
      </c>
      <c r="AD114" s="214">
        <v>341.7</v>
      </c>
      <c r="AE114" s="214">
        <v>292.10000000000002</v>
      </c>
      <c r="AF114" s="214">
        <v>288.8</v>
      </c>
      <c r="AG114" s="214">
        <v>226</v>
      </c>
      <c r="AH114" s="214">
        <v>198.4</v>
      </c>
      <c r="AI114" s="214">
        <v>181.9</v>
      </c>
      <c r="AJ114" s="214">
        <v>71.7</v>
      </c>
      <c r="AK114" s="214">
        <v>0</v>
      </c>
      <c r="AL114" s="214">
        <v>0</v>
      </c>
    </row>
    <row r="115" spans="1:38" x14ac:dyDescent="0.25">
      <c r="A115" s="214" t="s">
        <v>400</v>
      </c>
      <c r="B115" s="214">
        <v>0</v>
      </c>
      <c r="C115" s="214">
        <v>55.1</v>
      </c>
      <c r="D115" s="214">
        <v>0</v>
      </c>
      <c r="E115" s="214">
        <v>203.9</v>
      </c>
      <c r="F115" s="214">
        <v>226</v>
      </c>
      <c r="G115" s="214">
        <v>259</v>
      </c>
      <c r="H115" s="214">
        <v>275.60000000000002</v>
      </c>
      <c r="I115" s="214">
        <v>330.7</v>
      </c>
      <c r="J115" s="214">
        <v>309.7</v>
      </c>
      <c r="K115" s="214">
        <v>286.60000000000002</v>
      </c>
      <c r="L115" s="214">
        <v>286.60000000000002</v>
      </c>
      <c r="M115" s="214">
        <v>187.4</v>
      </c>
      <c r="N115" s="214">
        <v>165.3</v>
      </c>
      <c r="O115" s="214">
        <v>159.80000000000001</v>
      </c>
      <c r="P115" s="214">
        <v>159.80000000000001</v>
      </c>
      <c r="Q115" s="214">
        <v>77.2</v>
      </c>
      <c r="R115" s="214">
        <v>0</v>
      </c>
      <c r="S115" s="214">
        <v>0</v>
      </c>
      <c r="T115" s="214">
        <v>0</v>
      </c>
      <c r="U115" s="214">
        <v>143.30000000000001</v>
      </c>
      <c r="V115" s="214">
        <v>181.9</v>
      </c>
      <c r="W115" s="214">
        <v>209.4</v>
      </c>
      <c r="X115" s="214">
        <v>0</v>
      </c>
      <c r="Y115" s="214">
        <v>71.7</v>
      </c>
      <c r="Z115" s="214">
        <v>127.9</v>
      </c>
      <c r="AA115" s="214">
        <v>220.5</v>
      </c>
      <c r="AB115" s="214">
        <v>314.2</v>
      </c>
      <c r="AC115" s="214">
        <v>314.2</v>
      </c>
      <c r="AD115" s="214">
        <v>314.2</v>
      </c>
      <c r="AE115" s="214">
        <v>176.4</v>
      </c>
      <c r="AF115" s="214">
        <v>165.3</v>
      </c>
      <c r="AG115" s="214">
        <v>160.9</v>
      </c>
      <c r="AH115" s="214">
        <v>137.80000000000001</v>
      </c>
      <c r="AI115" s="214">
        <v>137.80000000000001</v>
      </c>
      <c r="AJ115" s="214">
        <v>71.7</v>
      </c>
      <c r="AK115" s="214">
        <v>0</v>
      </c>
      <c r="AL115" s="214">
        <v>0</v>
      </c>
    </row>
    <row r="116" spans="1:38" x14ac:dyDescent="0.25">
      <c r="A116" s="214" t="s">
        <v>401</v>
      </c>
      <c r="B116" s="214">
        <v>0</v>
      </c>
      <c r="C116" s="214">
        <v>115.7</v>
      </c>
      <c r="D116" s="214">
        <v>0</v>
      </c>
      <c r="E116" s="214">
        <v>400</v>
      </c>
      <c r="F116" s="214">
        <v>451.9</v>
      </c>
      <c r="G116" s="214">
        <v>474</v>
      </c>
      <c r="H116" s="214">
        <v>474</v>
      </c>
      <c r="I116" s="214">
        <v>501.6</v>
      </c>
      <c r="J116" s="214">
        <v>435.4</v>
      </c>
      <c r="K116" s="214">
        <v>418.9</v>
      </c>
      <c r="L116" s="214">
        <v>403.4</v>
      </c>
      <c r="M116" s="214">
        <v>396.8</v>
      </c>
      <c r="N116" s="214">
        <v>303.10000000000002</v>
      </c>
      <c r="O116" s="214">
        <v>286.60000000000002</v>
      </c>
      <c r="P116" s="214">
        <v>286.60000000000002</v>
      </c>
      <c r="Q116" s="214">
        <v>176.4</v>
      </c>
      <c r="R116" s="214">
        <v>0</v>
      </c>
      <c r="S116" s="214">
        <v>0</v>
      </c>
      <c r="T116" s="214">
        <v>0</v>
      </c>
      <c r="U116" s="214">
        <v>362.7</v>
      </c>
      <c r="V116" s="214">
        <v>366</v>
      </c>
      <c r="W116" s="214">
        <v>429.9</v>
      </c>
      <c r="X116" s="214">
        <v>0</v>
      </c>
      <c r="Y116" s="214">
        <v>210.5</v>
      </c>
      <c r="Z116" s="214">
        <v>308.60000000000002</v>
      </c>
      <c r="AA116" s="214">
        <v>435.4</v>
      </c>
      <c r="AB116" s="214">
        <v>487.2</v>
      </c>
      <c r="AC116" s="214">
        <v>446.4</v>
      </c>
      <c r="AD116" s="214">
        <v>446.4</v>
      </c>
      <c r="AE116" s="214">
        <v>386.9</v>
      </c>
      <c r="AF116" s="214">
        <v>352.7</v>
      </c>
      <c r="AG116" s="214">
        <v>298.7</v>
      </c>
      <c r="AH116" s="214">
        <v>275.60000000000002</v>
      </c>
      <c r="AI116" s="214">
        <v>275.60000000000002</v>
      </c>
      <c r="AJ116" s="214">
        <v>132.30000000000001</v>
      </c>
      <c r="AK116" s="214">
        <v>0</v>
      </c>
      <c r="AL116" s="214">
        <v>0</v>
      </c>
    </row>
    <row r="117" spans="1:38" x14ac:dyDescent="0.25">
      <c r="A117" s="214" t="s">
        <v>402</v>
      </c>
      <c r="B117" s="214">
        <v>0</v>
      </c>
      <c r="C117" s="214">
        <v>253.5</v>
      </c>
      <c r="D117" s="214">
        <v>0</v>
      </c>
      <c r="E117" s="214">
        <v>920.4</v>
      </c>
      <c r="F117" s="214">
        <v>1052.7</v>
      </c>
      <c r="G117" s="214">
        <v>1102.3</v>
      </c>
      <c r="H117" s="214">
        <v>1102.3</v>
      </c>
      <c r="I117" s="214">
        <v>1207</v>
      </c>
      <c r="J117" s="214">
        <v>1118.8</v>
      </c>
      <c r="K117" s="214">
        <v>1008.6</v>
      </c>
      <c r="L117" s="214">
        <v>997.6</v>
      </c>
      <c r="M117" s="214">
        <v>920.4</v>
      </c>
      <c r="N117" s="214">
        <v>688.9</v>
      </c>
      <c r="O117" s="214">
        <v>655.9</v>
      </c>
      <c r="P117" s="214">
        <v>644.9</v>
      </c>
      <c r="Q117" s="214">
        <v>402.3</v>
      </c>
      <c r="R117" s="214">
        <v>0</v>
      </c>
      <c r="S117" s="214">
        <v>0</v>
      </c>
      <c r="T117" s="214">
        <v>0</v>
      </c>
      <c r="U117" s="214">
        <v>800.3</v>
      </c>
      <c r="V117" s="214">
        <v>828.9</v>
      </c>
      <c r="W117" s="214">
        <v>920.4</v>
      </c>
      <c r="X117" s="214">
        <v>0</v>
      </c>
      <c r="Y117" s="214">
        <v>424.4</v>
      </c>
      <c r="Z117" s="214">
        <v>673.5</v>
      </c>
      <c r="AA117" s="214">
        <v>975.5</v>
      </c>
      <c r="AB117" s="214">
        <v>1101.2</v>
      </c>
      <c r="AC117" s="214">
        <v>1101.2</v>
      </c>
      <c r="AD117" s="214">
        <v>1101.2</v>
      </c>
      <c r="AE117" s="214">
        <v>778.2</v>
      </c>
      <c r="AF117" s="214">
        <v>777.1</v>
      </c>
      <c r="AG117" s="214">
        <v>685.6</v>
      </c>
      <c r="AH117" s="214">
        <v>595.20000000000005</v>
      </c>
      <c r="AI117" s="214">
        <v>589.70000000000005</v>
      </c>
      <c r="AJ117" s="214">
        <v>275.60000000000002</v>
      </c>
      <c r="AK117" s="214">
        <v>0</v>
      </c>
      <c r="AL117" s="214">
        <v>0</v>
      </c>
    </row>
    <row r="118" spans="1:38" x14ac:dyDescent="0.25">
      <c r="A118" s="214" t="s">
        <v>403</v>
      </c>
      <c r="B118" s="214">
        <v>0</v>
      </c>
      <c r="C118" s="214">
        <v>0</v>
      </c>
      <c r="D118" s="214">
        <v>0</v>
      </c>
      <c r="E118" s="214">
        <v>385.8</v>
      </c>
      <c r="F118" s="214">
        <v>440.9</v>
      </c>
      <c r="G118" s="214">
        <v>479.5</v>
      </c>
      <c r="H118" s="214">
        <v>490.5</v>
      </c>
      <c r="I118" s="214">
        <v>562.20000000000005</v>
      </c>
      <c r="J118" s="214">
        <v>540.1</v>
      </c>
      <c r="K118" s="214">
        <v>529.1</v>
      </c>
      <c r="L118" s="214">
        <v>374.8</v>
      </c>
      <c r="M118" s="214">
        <v>358.3</v>
      </c>
      <c r="N118" s="214">
        <v>336.2</v>
      </c>
      <c r="O118" s="214">
        <v>314.2</v>
      </c>
      <c r="P118" s="214">
        <v>308.60000000000002</v>
      </c>
      <c r="Q118" s="214">
        <v>85</v>
      </c>
      <c r="R118" s="214">
        <v>0</v>
      </c>
      <c r="S118" s="214">
        <v>0</v>
      </c>
      <c r="T118" s="214">
        <v>0</v>
      </c>
      <c r="U118" s="214">
        <v>275.60000000000002</v>
      </c>
      <c r="V118" s="214">
        <v>371.5</v>
      </c>
      <c r="W118" s="214">
        <v>396.8</v>
      </c>
      <c r="X118" s="214">
        <v>0</v>
      </c>
      <c r="Y118" s="214">
        <v>170.9</v>
      </c>
      <c r="Z118" s="214">
        <v>249.1</v>
      </c>
      <c r="AA118" s="214">
        <v>396.8</v>
      </c>
      <c r="AB118" s="214">
        <v>414.5</v>
      </c>
      <c r="AC118" s="214">
        <v>385.8</v>
      </c>
      <c r="AD118" s="214">
        <v>325.2</v>
      </c>
      <c r="AE118" s="214">
        <v>320.8</v>
      </c>
      <c r="AF118" s="214">
        <v>320.8</v>
      </c>
      <c r="AG118" s="214">
        <v>265.7</v>
      </c>
      <c r="AH118" s="214">
        <v>231.5</v>
      </c>
      <c r="AI118" s="214">
        <v>231.5</v>
      </c>
      <c r="AJ118" s="214">
        <v>99.2</v>
      </c>
      <c r="AK118" s="214">
        <v>0</v>
      </c>
      <c r="AL118" s="214">
        <v>0</v>
      </c>
    </row>
    <row r="119" spans="1:38" x14ac:dyDescent="0.25">
      <c r="A119" s="214" t="s">
        <v>404</v>
      </c>
      <c r="B119" s="214">
        <v>0</v>
      </c>
      <c r="C119" s="214">
        <v>0</v>
      </c>
      <c r="D119" s="214">
        <v>0</v>
      </c>
      <c r="E119" s="214">
        <v>198.4</v>
      </c>
      <c r="F119" s="214">
        <v>264.60000000000002</v>
      </c>
      <c r="G119" s="214">
        <v>292.10000000000002</v>
      </c>
      <c r="H119" s="214">
        <v>303.10000000000002</v>
      </c>
      <c r="I119" s="214">
        <v>374.8</v>
      </c>
      <c r="J119" s="214">
        <v>363.8</v>
      </c>
      <c r="K119" s="214">
        <v>363.8</v>
      </c>
      <c r="L119" s="214">
        <v>253.5</v>
      </c>
      <c r="M119" s="214">
        <v>231.5</v>
      </c>
      <c r="N119" s="214">
        <v>203.9</v>
      </c>
      <c r="O119" s="214">
        <v>198.4</v>
      </c>
      <c r="P119" s="214">
        <v>198.4</v>
      </c>
      <c r="Q119" s="214">
        <v>60</v>
      </c>
      <c r="R119" s="214">
        <v>0</v>
      </c>
      <c r="S119" s="214">
        <v>0</v>
      </c>
      <c r="T119" s="214">
        <v>0</v>
      </c>
      <c r="U119" s="214">
        <v>147.69999999999999</v>
      </c>
      <c r="V119" s="214">
        <v>237</v>
      </c>
      <c r="W119" s="214">
        <v>253.5</v>
      </c>
      <c r="X119" s="214">
        <v>0</v>
      </c>
      <c r="Y119" s="214">
        <v>71.7</v>
      </c>
      <c r="Z119" s="214">
        <v>127.9</v>
      </c>
      <c r="AA119" s="214">
        <v>253.5</v>
      </c>
      <c r="AB119" s="214">
        <v>317.5</v>
      </c>
      <c r="AC119" s="214">
        <v>317.5</v>
      </c>
      <c r="AD119" s="214">
        <v>253.5</v>
      </c>
      <c r="AE119" s="214">
        <v>192.9</v>
      </c>
      <c r="AF119" s="214">
        <v>177.5</v>
      </c>
      <c r="AG119" s="214">
        <v>177.5</v>
      </c>
      <c r="AH119" s="214">
        <v>154.30000000000001</v>
      </c>
      <c r="AI119" s="214">
        <v>148.80000000000001</v>
      </c>
      <c r="AJ119" s="214">
        <v>93.7</v>
      </c>
      <c r="AK119" s="214">
        <v>0</v>
      </c>
      <c r="AL119" s="214">
        <v>0</v>
      </c>
    </row>
    <row r="120" spans="1:38" x14ac:dyDescent="0.25">
      <c r="A120" s="214" t="s">
        <v>405</v>
      </c>
      <c r="B120" s="214">
        <v>0</v>
      </c>
      <c r="C120" s="214">
        <v>0</v>
      </c>
      <c r="D120" s="214">
        <v>0</v>
      </c>
      <c r="E120" s="214">
        <v>374.8</v>
      </c>
      <c r="F120" s="214">
        <v>485</v>
      </c>
      <c r="G120" s="214">
        <v>485</v>
      </c>
      <c r="H120" s="214">
        <v>485</v>
      </c>
      <c r="I120" s="214">
        <v>556.70000000000005</v>
      </c>
      <c r="J120" s="214">
        <v>549</v>
      </c>
      <c r="K120" s="214">
        <v>549</v>
      </c>
      <c r="L120" s="214">
        <v>396.8</v>
      </c>
      <c r="M120" s="214">
        <v>396.8</v>
      </c>
      <c r="N120" s="214">
        <v>347.2</v>
      </c>
      <c r="O120" s="214">
        <v>347.2</v>
      </c>
      <c r="P120" s="214">
        <v>330.7</v>
      </c>
      <c r="Q120" s="214">
        <v>135</v>
      </c>
      <c r="R120" s="214">
        <v>0</v>
      </c>
      <c r="S120" s="214">
        <v>0</v>
      </c>
      <c r="T120" s="214">
        <v>0</v>
      </c>
      <c r="U120" s="214">
        <v>325.2</v>
      </c>
      <c r="V120" s="214">
        <v>442</v>
      </c>
      <c r="W120" s="214">
        <v>451.9</v>
      </c>
      <c r="X120" s="214">
        <v>0</v>
      </c>
      <c r="Y120" s="214">
        <v>237</v>
      </c>
      <c r="Z120" s="214">
        <v>292.10000000000002</v>
      </c>
      <c r="AA120" s="214">
        <v>451.9</v>
      </c>
      <c r="AB120" s="214">
        <v>542.29999999999995</v>
      </c>
      <c r="AC120" s="214">
        <v>451.9</v>
      </c>
      <c r="AD120" s="214">
        <v>429.9</v>
      </c>
      <c r="AE120" s="214">
        <v>429.9</v>
      </c>
      <c r="AF120" s="214">
        <v>429.9</v>
      </c>
      <c r="AG120" s="214">
        <v>331.8</v>
      </c>
      <c r="AH120" s="214">
        <v>286.60000000000002</v>
      </c>
      <c r="AI120" s="214">
        <v>275.60000000000002</v>
      </c>
      <c r="AJ120" s="214">
        <v>203.9</v>
      </c>
      <c r="AK120" s="214">
        <v>0</v>
      </c>
      <c r="AL120" s="214">
        <v>0</v>
      </c>
    </row>
    <row r="121" spans="1:38" x14ac:dyDescent="0.25">
      <c r="A121" s="214" t="s">
        <v>406</v>
      </c>
      <c r="B121" s="214">
        <v>0</v>
      </c>
      <c r="C121" s="214">
        <v>0</v>
      </c>
      <c r="D121" s="214">
        <v>0</v>
      </c>
      <c r="E121" s="214">
        <v>948</v>
      </c>
      <c r="F121" s="214">
        <v>1102.3</v>
      </c>
      <c r="G121" s="214">
        <v>1168.4000000000001</v>
      </c>
      <c r="H121" s="214">
        <v>1196</v>
      </c>
      <c r="I121" s="214">
        <v>1441.8</v>
      </c>
      <c r="J121" s="214">
        <v>1441.8</v>
      </c>
      <c r="K121" s="214">
        <v>1441.8</v>
      </c>
      <c r="L121" s="214">
        <v>992.1</v>
      </c>
      <c r="M121" s="214">
        <v>981.1</v>
      </c>
      <c r="N121" s="214">
        <v>859.8</v>
      </c>
      <c r="O121" s="214">
        <v>859.8</v>
      </c>
      <c r="P121" s="214">
        <v>832.2</v>
      </c>
      <c r="Q121" s="214">
        <v>280</v>
      </c>
      <c r="R121" s="214">
        <v>0</v>
      </c>
      <c r="S121" s="214">
        <v>0</v>
      </c>
      <c r="T121" s="214">
        <v>0</v>
      </c>
      <c r="U121" s="214">
        <v>744.1</v>
      </c>
      <c r="V121" s="214">
        <v>1050.5</v>
      </c>
      <c r="W121" s="214">
        <v>1096.8</v>
      </c>
      <c r="X121" s="214">
        <v>0</v>
      </c>
      <c r="Y121" s="214">
        <v>496</v>
      </c>
      <c r="Z121" s="214">
        <v>669.1</v>
      </c>
      <c r="AA121" s="214">
        <v>1096.8</v>
      </c>
      <c r="AB121" s="214">
        <v>1210.3</v>
      </c>
      <c r="AC121" s="214">
        <v>1074.8</v>
      </c>
      <c r="AD121" s="214">
        <v>997.6</v>
      </c>
      <c r="AE121" s="214">
        <v>922.6</v>
      </c>
      <c r="AF121" s="214">
        <v>922.6</v>
      </c>
      <c r="AG121" s="214">
        <v>733</v>
      </c>
      <c r="AH121" s="214">
        <v>672.4</v>
      </c>
      <c r="AI121" s="214">
        <v>655.9</v>
      </c>
      <c r="AJ121" s="214">
        <v>396.8</v>
      </c>
      <c r="AK121" s="214">
        <v>0</v>
      </c>
      <c r="AL121" s="214">
        <v>0</v>
      </c>
    </row>
    <row r="122" spans="1:38" x14ac:dyDescent="0.25">
      <c r="A122" s="214" t="s">
        <v>407</v>
      </c>
      <c r="B122" s="214">
        <v>0</v>
      </c>
      <c r="C122" s="214">
        <v>82.7</v>
      </c>
      <c r="D122" s="214">
        <v>121.3</v>
      </c>
      <c r="E122" s="214">
        <v>396.8</v>
      </c>
      <c r="F122" s="214">
        <v>464.1</v>
      </c>
      <c r="G122" s="214">
        <v>501.6</v>
      </c>
      <c r="H122" s="214">
        <v>530.20000000000005</v>
      </c>
      <c r="I122" s="214">
        <v>603</v>
      </c>
      <c r="J122" s="214">
        <v>545.6</v>
      </c>
      <c r="K122" s="214">
        <v>540.1</v>
      </c>
      <c r="L122" s="214">
        <v>396.8</v>
      </c>
      <c r="M122" s="214">
        <v>319.7</v>
      </c>
      <c r="N122" s="214">
        <v>231.5</v>
      </c>
      <c r="O122" s="214">
        <v>231.5</v>
      </c>
      <c r="P122" s="214">
        <v>231.5</v>
      </c>
      <c r="Q122" s="214">
        <v>215</v>
      </c>
      <c r="R122" s="214">
        <v>0</v>
      </c>
      <c r="S122" s="214">
        <v>0</v>
      </c>
      <c r="T122" s="214">
        <v>0</v>
      </c>
      <c r="U122" s="214">
        <v>286.60000000000002</v>
      </c>
      <c r="V122" s="214">
        <v>396.8</v>
      </c>
      <c r="W122" s="214">
        <v>490.5</v>
      </c>
      <c r="X122" s="214">
        <v>0</v>
      </c>
      <c r="Y122" s="214">
        <v>137.80000000000001</v>
      </c>
      <c r="Z122" s="214">
        <v>275.60000000000002</v>
      </c>
      <c r="AA122" s="214">
        <v>496</v>
      </c>
      <c r="AB122" s="214">
        <v>490.5</v>
      </c>
      <c r="AC122" s="214">
        <v>440.9</v>
      </c>
      <c r="AD122" s="214">
        <v>440.9</v>
      </c>
      <c r="AE122" s="214">
        <v>319.7</v>
      </c>
      <c r="AF122" s="214">
        <v>314.2</v>
      </c>
      <c r="AG122" s="214">
        <v>254.6</v>
      </c>
      <c r="AH122" s="214">
        <v>220.5</v>
      </c>
      <c r="AI122" s="214">
        <v>181.9</v>
      </c>
      <c r="AJ122" s="214">
        <v>181.9</v>
      </c>
      <c r="AK122" s="214">
        <v>0</v>
      </c>
      <c r="AL122" s="214">
        <v>0</v>
      </c>
    </row>
    <row r="123" spans="1:38" x14ac:dyDescent="0.25">
      <c r="A123" s="214" t="s">
        <v>408</v>
      </c>
      <c r="B123" s="214">
        <v>0</v>
      </c>
      <c r="C123" s="214">
        <v>60.6</v>
      </c>
      <c r="D123" s="214">
        <v>77.2</v>
      </c>
      <c r="E123" s="214">
        <v>220.5</v>
      </c>
      <c r="F123" s="214">
        <v>303.10000000000002</v>
      </c>
      <c r="G123" s="214">
        <v>308.60000000000002</v>
      </c>
      <c r="H123" s="214">
        <v>366</v>
      </c>
      <c r="I123" s="214">
        <v>424.4</v>
      </c>
      <c r="J123" s="214">
        <v>424.4</v>
      </c>
      <c r="K123" s="214">
        <v>424.4</v>
      </c>
      <c r="L123" s="214">
        <v>287.7</v>
      </c>
      <c r="M123" s="214">
        <v>226</v>
      </c>
      <c r="N123" s="214">
        <v>165.3</v>
      </c>
      <c r="O123" s="214">
        <v>165.3</v>
      </c>
      <c r="P123" s="214">
        <v>165.3</v>
      </c>
      <c r="Q123" s="214">
        <v>159.80000000000001</v>
      </c>
      <c r="R123" s="214">
        <v>0</v>
      </c>
      <c r="S123" s="214">
        <v>0</v>
      </c>
      <c r="T123" s="214">
        <v>0</v>
      </c>
      <c r="U123" s="214">
        <v>148.80000000000001</v>
      </c>
      <c r="V123" s="214">
        <v>231.5</v>
      </c>
      <c r="W123" s="214">
        <v>281.10000000000002</v>
      </c>
      <c r="X123" s="214">
        <v>0</v>
      </c>
      <c r="Y123" s="214">
        <v>93.7</v>
      </c>
      <c r="Z123" s="214">
        <v>115.7</v>
      </c>
      <c r="AA123" s="214">
        <v>281.10000000000002</v>
      </c>
      <c r="AB123" s="214">
        <v>281.10000000000002</v>
      </c>
      <c r="AC123" s="214">
        <v>275.60000000000002</v>
      </c>
      <c r="AD123" s="214">
        <v>275.60000000000002</v>
      </c>
      <c r="AE123" s="214">
        <v>220.5</v>
      </c>
      <c r="AF123" s="214">
        <v>198.4</v>
      </c>
      <c r="AG123" s="214">
        <v>159.80000000000001</v>
      </c>
      <c r="AH123" s="214">
        <v>159.80000000000001</v>
      </c>
      <c r="AI123" s="214">
        <v>126.8</v>
      </c>
      <c r="AJ123" s="214">
        <v>115.7</v>
      </c>
      <c r="AK123" s="214">
        <v>0</v>
      </c>
      <c r="AL123" s="214">
        <v>0</v>
      </c>
    </row>
    <row r="124" spans="1:38" x14ac:dyDescent="0.25">
      <c r="A124" s="214" t="s">
        <v>409</v>
      </c>
      <c r="B124" s="214">
        <v>0</v>
      </c>
      <c r="C124" s="214">
        <v>0</v>
      </c>
      <c r="D124" s="214">
        <v>192.9</v>
      </c>
      <c r="E124" s="214">
        <v>440.9</v>
      </c>
      <c r="F124" s="214">
        <v>440.9</v>
      </c>
      <c r="G124" s="214">
        <v>496</v>
      </c>
      <c r="H124" s="214">
        <v>518.1</v>
      </c>
      <c r="I124" s="214">
        <v>518.1</v>
      </c>
      <c r="J124" s="214">
        <v>502.7</v>
      </c>
      <c r="K124" s="214">
        <v>502.7</v>
      </c>
      <c r="L124" s="214">
        <v>463</v>
      </c>
      <c r="M124" s="214">
        <v>336.2</v>
      </c>
      <c r="N124" s="214">
        <v>297.60000000000002</v>
      </c>
      <c r="O124" s="214">
        <v>297.60000000000002</v>
      </c>
      <c r="P124" s="214">
        <v>297.60000000000002</v>
      </c>
      <c r="Q124" s="214">
        <v>270.10000000000002</v>
      </c>
      <c r="R124" s="214">
        <v>0</v>
      </c>
      <c r="S124" s="214">
        <v>0</v>
      </c>
      <c r="T124" s="214">
        <v>0</v>
      </c>
      <c r="U124" s="214">
        <v>400</v>
      </c>
      <c r="V124" s="214">
        <v>451.9</v>
      </c>
      <c r="W124" s="214">
        <v>501.6</v>
      </c>
      <c r="X124" s="214">
        <v>0</v>
      </c>
      <c r="Y124" s="214">
        <v>205</v>
      </c>
      <c r="Z124" s="214">
        <v>303.10000000000002</v>
      </c>
      <c r="AA124" s="214">
        <v>501.6</v>
      </c>
      <c r="AB124" s="214">
        <v>518.1</v>
      </c>
      <c r="AC124" s="214">
        <v>501.6</v>
      </c>
      <c r="AD124" s="214">
        <v>501.6</v>
      </c>
      <c r="AE124" s="214">
        <v>374.8</v>
      </c>
      <c r="AF124" s="214">
        <v>336.2</v>
      </c>
      <c r="AG124" s="214">
        <v>336.2</v>
      </c>
      <c r="AH124" s="214">
        <v>292.10000000000002</v>
      </c>
      <c r="AI124" s="214">
        <v>275.60000000000002</v>
      </c>
      <c r="AJ124" s="214">
        <v>275.60000000000002</v>
      </c>
      <c r="AK124" s="214">
        <v>0</v>
      </c>
      <c r="AL124" s="214">
        <v>0</v>
      </c>
    </row>
    <row r="125" spans="1:38" x14ac:dyDescent="0.25">
      <c r="A125" s="214" t="s">
        <v>410</v>
      </c>
      <c r="B125" s="214">
        <v>0</v>
      </c>
      <c r="C125" s="214">
        <v>385.8</v>
      </c>
      <c r="D125" s="214">
        <v>385.8</v>
      </c>
      <c r="E125" s="214">
        <v>1047.2</v>
      </c>
      <c r="F125" s="214">
        <v>1118.8</v>
      </c>
      <c r="G125" s="214">
        <v>1223.5999999999999</v>
      </c>
      <c r="H125" s="214">
        <v>1350.3</v>
      </c>
      <c r="I125" s="214">
        <v>1479.3</v>
      </c>
      <c r="J125" s="214">
        <v>1462.8</v>
      </c>
      <c r="K125" s="214">
        <v>1462.8</v>
      </c>
      <c r="L125" s="214">
        <v>1064.8</v>
      </c>
      <c r="M125" s="214">
        <v>865.3</v>
      </c>
      <c r="N125" s="214">
        <v>677.9</v>
      </c>
      <c r="O125" s="214">
        <v>677.9</v>
      </c>
      <c r="P125" s="214">
        <v>677.9</v>
      </c>
      <c r="Q125" s="214">
        <v>617.29999999999995</v>
      </c>
      <c r="R125" s="214">
        <v>0</v>
      </c>
      <c r="S125" s="214">
        <v>0</v>
      </c>
      <c r="T125" s="214">
        <v>0</v>
      </c>
      <c r="U125" s="214">
        <v>744.1</v>
      </c>
      <c r="V125" s="214">
        <v>1080.3</v>
      </c>
      <c r="W125" s="214">
        <v>1262.0999999999999</v>
      </c>
      <c r="X125" s="214">
        <v>0</v>
      </c>
      <c r="Y125" s="214">
        <v>436.5</v>
      </c>
      <c r="Z125" s="214">
        <v>694.5</v>
      </c>
      <c r="AA125" s="214">
        <v>1262.0999999999999</v>
      </c>
      <c r="AB125" s="214">
        <v>1262.0999999999999</v>
      </c>
      <c r="AC125" s="214">
        <v>1129.9000000000001</v>
      </c>
      <c r="AD125" s="214">
        <v>1129.9000000000001</v>
      </c>
      <c r="AE125" s="214">
        <v>870.8</v>
      </c>
      <c r="AF125" s="214">
        <v>821.2</v>
      </c>
      <c r="AG125" s="214">
        <v>727.5</v>
      </c>
      <c r="AH125" s="214">
        <v>672.4</v>
      </c>
      <c r="AI125" s="214">
        <v>562.20000000000005</v>
      </c>
      <c r="AJ125" s="214">
        <v>556.70000000000005</v>
      </c>
      <c r="AK125" s="214">
        <v>0</v>
      </c>
      <c r="AL125" s="214">
        <v>0</v>
      </c>
    </row>
    <row r="126" spans="1:38" x14ac:dyDescent="0.25">
      <c r="A126" s="214" t="s">
        <v>411</v>
      </c>
      <c r="B126" s="214">
        <v>0</v>
      </c>
      <c r="C126" s="214">
        <v>0</v>
      </c>
      <c r="D126" s="214">
        <v>358.3</v>
      </c>
      <c r="E126" s="214">
        <v>446.4</v>
      </c>
      <c r="F126" s="214">
        <v>578.70000000000005</v>
      </c>
      <c r="G126" s="214">
        <v>639.29999999999995</v>
      </c>
      <c r="H126" s="214">
        <v>644.9</v>
      </c>
      <c r="I126" s="214">
        <v>694.5</v>
      </c>
      <c r="J126" s="214">
        <v>562.20000000000005</v>
      </c>
      <c r="K126" s="214">
        <v>562.20000000000005</v>
      </c>
      <c r="L126" s="214">
        <v>562.20000000000005</v>
      </c>
      <c r="M126" s="214">
        <v>562.20000000000005</v>
      </c>
      <c r="N126" s="214">
        <v>523.6</v>
      </c>
      <c r="O126" s="214">
        <v>330.7</v>
      </c>
      <c r="P126" s="214">
        <v>0</v>
      </c>
      <c r="Q126" s="214">
        <v>0</v>
      </c>
      <c r="R126" s="214">
        <v>0</v>
      </c>
      <c r="S126" s="214">
        <v>0</v>
      </c>
      <c r="T126" s="214">
        <v>0</v>
      </c>
      <c r="U126" s="214">
        <v>402.3</v>
      </c>
      <c r="V126" s="214">
        <v>578.70000000000005</v>
      </c>
      <c r="W126" s="214">
        <v>578.70000000000005</v>
      </c>
      <c r="X126" s="214">
        <v>0</v>
      </c>
      <c r="Y126" s="214">
        <v>99.2</v>
      </c>
      <c r="Z126" s="214">
        <v>242.5</v>
      </c>
      <c r="AA126" s="214">
        <v>578.70000000000005</v>
      </c>
      <c r="AB126" s="214">
        <v>601.9</v>
      </c>
      <c r="AC126" s="214">
        <v>429.9</v>
      </c>
      <c r="AD126" s="214">
        <v>402.3</v>
      </c>
      <c r="AE126" s="214">
        <v>385.8</v>
      </c>
      <c r="AF126" s="214">
        <v>305</v>
      </c>
      <c r="AG126" s="214">
        <v>253.5</v>
      </c>
      <c r="AH126" s="214">
        <v>221.6</v>
      </c>
      <c r="AI126" s="214">
        <v>198.4</v>
      </c>
      <c r="AJ126" s="214">
        <v>198.4</v>
      </c>
      <c r="AK126" s="214">
        <v>115.7</v>
      </c>
      <c r="AL126" s="214">
        <v>0</v>
      </c>
    </row>
    <row r="127" spans="1:38" x14ac:dyDescent="0.25">
      <c r="A127" s="214" t="s">
        <v>412</v>
      </c>
      <c r="B127" s="214">
        <v>0</v>
      </c>
      <c r="C127" s="214">
        <v>0</v>
      </c>
      <c r="D127" s="214">
        <v>104.7</v>
      </c>
      <c r="E127" s="214">
        <v>248</v>
      </c>
      <c r="F127" s="214">
        <v>370.4</v>
      </c>
      <c r="G127" s="214">
        <v>392.4</v>
      </c>
      <c r="H127" s="214">
        <v>418.9</v>
      </c>
      <c r="I127" s="214">
        <v>463</v>
      </c>
      <c r="J127" s="214">
        <v>407.9</v>
      </c>
      <c r="K127" s="214">
        <v>347.2</v>
      </c>
      <c r="L127" s="214">
        <v>347.2</v>
      </c>
      <c r="M127" s="214">
        <v>347.2</v>
      </c>
      <c r="N127" s="214">
        <v>270.10000000000002</v>
      </c>
      <c r="O127" s="214">
        <v>148.80000000000001</v>
      </c>
      <c r="P127" s="214">
        <v>0</v>
      </c>
      <c r="Q127" s="214">
        <v>0</v>
      </c>
      <c r="R127" s="214">
        <v>0</v>
      </c>
      <c r="S127" s="214">
        <v>0</v>
      </c>
      <c r="T127" s="214">
        <v>0</v>
      </c>
      <c r="U127" s="214">
        <v>143.30000000000001</v>
      </c>
      <c r="V127" s="214">
        <v>264.60000000000002</v>
      </c>
      <c r="W127" s="214">
        <v>264.60000000000002</v>
      </c>
      <c r="X127" s="214">
        <v>0</v>
      </c>
      <c r="Y127" s="214">
        <v>93.7</v>
      </c>
      <c r="Z127" s="214">
        <v>110.2</v>
      </c>
      <c r="AA127" s="214">
        <v>264.60000000000002</v>
      </c>
      <c r="AB127" s="214">
        <v>334</v>
      </c>
      <c r="AC127" s="214">
        <v>266.8</v>
      </c>
      <c r="AD127" s="214">
        <v>264.60000000000002</v>
      </c>
      <c r="AE127" s="214">
        <v>254.6</v>
      </c>
      <c r="AF127" s="214">
        <v>205</v>
      </c>
      <c r="AG127" s="214">
        <v>176.4</v>
      </c>
      <c r="AH127" s="214">
        <v>176.4</v>
      </c>
      <c r="AI127" s="214">
        <v>176.4</v>
      </c>
      <c r="AJ127" s="214">
        <v>121.3</v>
      </c>
      <c r="AK127" s="214">
        <v>88.2</v>
      </c>
      <c r="AL127" s="214">
        <v>0</v>
      </c>
    </row>
    <row r="128" spans="1:38" x14ac:dyDescent="0.25">
      <c r="A128" s="214" t="s">
        <v>413</v>
      </c>
      <c r="B128" s="214">
        <v>0</v>
      </c>
      <c r="C128" s="214">
        <v>0</v>
      </c>
      <c r="D128" s="214">
        <v>297.60000000000002</v>
      </c>
      <c r="E128" s="214">
        <v>468.5</v>
      </c>
      <c r="F128" s="214">
        <v>507.1</v>
      </c>
      <c r="G128" s="214">
        <v>507.1</v>
      </c>
      <c r="H128" s="214">
        <v>507.1</v>
      </c>
      <c r="I128" s="214">
        <v>574.29999999999995</v>
      </c>
      <c r="J128" s="214">
        <v>501.6</v>
      </c>
      <c r="K128" s="214">
        <v>501.6</v>
      </c>
      <c r="L128" s="214">
        <v>501.6</v>
      </c>
      <c r="M128" s="214">
        <v>485</v>
      </c>
      <c r="N128" s="214">
        <v>474</v>
      </c>
      <c r="O128" s="214">
        <v>336.2</v>
      </c>
      <c r="P128" s="214">
        <v>0</v>
      </c>
      <c r="Q128" s="214">
        <v>0</v>
      </c>
      <c r="R128" s="214">
        <v>0</v>
      </c>
      <c r="S128" s="214">
        <v>0</v>
      </c>
      <c r="T128" s="214">
        <v>0</v>
      </c>
      <c r="U128" s="214">
        <v>281.10000000000002</v>
      </c>
      <c r="V128" s="214">
        <v>524.70000000000005</v>
      </c>
      <c r="W128" s="214">
        <v>524.70000000000005</v>
      </c>
      <c r="X128" s="214">
        <v>0</v>
      </c>
      <c r="Y128" s="214">
        <v>226</v>
      </c>
      <c r="Z128" s="214">
        <v>292.10000000000002</v>
      </c>
      <c r="AA128" s="214">
        <v>524.70000000000005</v>
      </c>
      <c r="AB128" s="214">
        <v>544.5</v>
      </c>
      <c r="AC128" s="214">
        <v>468.5</v>
      </c>
      <c r="AD128" s="214">
        <v>440.9</v>
      </c>
      <c r="AE128" s="214">
        <v>440.9</v>
      </c>
      <c r="AF128" s="214">
        <v>347.2</v>
      </c>
      <c r="AG128" s="214">
        <v>325.2</v>
      </c>
      <c r="AH128" s="214">
        <v>270.10000000000002</v>
      </c>
      <c r="AI128" s="214">
        <v>264.60000000000002</v>
      </c>
      <c r="AJ128" s="214">
        <v>264.60000000000002</v>
      </c>
      <c r="AK128" s="214">
        <v>253.5</v>
      </c>
      <c r="AL128" s="214">
        <v>0</v>
      </c>
    </row>
    <row r="129" spans="1:38" x14ac:dyDescent="0.25">
      <c r="A129" s="214" t="s">
        <v>414</v>
      </c>
      <c r="B129" s="214">
        <v>0</v>
      </c>
      <c r="C129" s="214">
        <v>760.6</v>
      </c>
      <c r="D129" s="214">
        <v>760.6</v>
      </c>
      <c r="E129" s="214">
        <v>1107.8</v>
      </c>
      <c r="F129" s="214">
        <v>1330.5</v>
      </c>
      <c r="G129" s="214">
        <v>1377.9</v>
      </c>
      <c r="H129" s="214">
        <v>1377.9</v>
      </c>
      <c r="I129" s="214">
        <v>1715.2</v>
      </c>
      <c r="J129" s="214">
        <v>1350.3</v>
      </c>
      <c r="K129" s="214">
        <v>1350.3</v>
      </c>
      <c r="L129" s="214">
        <v>1350.3</v>
      </c>
      <c r="M129" s="214">
        <v>1350.3</v>
      </c>
      <c r="N129" s="214">
        <v>1267.7</v>
      </c>
      <c r="O129" s="214">
        <v>815.7</v>
      </c>
      <c r="P129" s="214">
        <v>0</v>
      </c>
      <c r="Q129" s="214">
        <v>0</v>
      </c>
      <c r="R129" s="214">
        <v>0</v>
      </c>
      <c r="S129" s="214">
        <v>0</v>
      </c>
      <c r="T129" s="214">
        <v>0</v>
      </c>
      <c r="U129" s="214">
        <v>981.1</v>
      </c>
      <c r="V129" s="214">
        <v>1356.9</v>
      </c>
      <c r="W129" s="214">
        <v>1356.9</v>
      </c>
      <c r="X129" s="214">
        <v>0</v>
      </c>
      <c r="Y129" s="214">
        <v>418.9</v>
      </c>
      <c r="Z129" s="214">
        <v>644.9</v>
      </c>
      <c r="AA129" s="214">
        <v>1356.9</v>
      </c>
      <c r="AB129" s="214">
        <v>1480.4</v>
      </c>
      <c r="AC129" s="214">
        <v>1102.3</v>
      </c>
      <c r="AD129" s="214">
        <v>1058.2</v>
      </c>
      <c r="AE129" s="214">
        <v>1058.2</v>
      </c>
      <c r="AF129" s="214">
        <v>815</v>
      </c>
      <c r="AG129" s="214">
        <v>661.4</v>
      </c>
      <c r="AH129" s="214">
        <v>629.4</v>
      </c>
      <c r="AI129" s="214">
        <v>584.20000000000005</v>
      </c>
      <c r="AJ129" s="214">
        <v>584.20000000000005</v>
      </c>
      <c r="AK129" s="214">
        <v>446.4</v>
      </c>
      <c r="AL129" s="214">
        <v>0</v>
      </c>
    </row>
    <row r="130" spans="1:38" x14ac:dyDescent="0.25">
      <c r="A130" s="214" t="s">
        <v>241</v>
      </c>
      <c r="B130" s="214">
        <v>0</v>
      </c>
      <c r="C130" s="214">
        <v>0</v>
      </c>
      <c r="D130" s="214">
        <v>0</v>
      </c>
      <c r="E130" s="214">
        <v>0</v>
      </c>
      <c r="F130" s="214">
        <v>0</v>
      </c>
      <c r="G130" s="214">
        <v>0</v>
      </c>
      <c r="H130" s="214">
        <v>0</v>
      </c>
      <c r="I130" s="214">
        <v>0</v>
      </c>
      <c r="J130" s="214">
        <v>0</v>
      </c>
      <c r="K130" s="214">
        <v>0</v>
      </c>
      <c r="L130" s="214">
        <v>0</v>
      </c>
      <c r="M130" s="214">
        <v>0</v>
      </c>
      <c r="N130" s="214">
        <v>0</v>
      </c>
      <c r="O130" s="214">
        <v>0</v>
      </c>
      <c r="P130" s="214">
        <v>0</v>
      </c>
      <c r="Q130" s="214">
        <v>0</v>
      </c>
      <c r="R130" s="214">
        <v>0</v>
      </c>
      <c r="S130" s="214">
        <v>0</v>
      </c>
      <c r="T130" s="214">
        <v>0</v>
      </c>
      <c r="U130" s="214">
        <v>0</v>
      </c>
      <c r="V130" s="214">
        <v>0</v>
      </c>
      <c r="W130" s="214">
        <v>0</v>
      </c>
      <c r="X130" s="214">
        <v>55.1</v>
      </c>
      <c r="Y130" s="214">
        <v>56.2</v>
      </c>
      <c r="Z130" s="214">
        <v>56.2</v>
      </c>
      <c r="AA130" s="214">
        <v>0</v>
      </c>
      <c r="AB130" s="214">
        <v>0</v>
      </c>
      <c r="AC130" s="214">
        <v>0</v>
      </c>
      <c r="AD130" s="214">
        <v>0</v>
      </c>
      <c r="AE130" s="214">
        <v>0</v>
      </c>
      <c r="AF130" s="214">
        <v>0</v>
      </c>
      <c r="AG130" s="214">
        <v>0</v>
      </c>
      <c r="AH130" s="214">
        <v>0</v>
      </c>
      <c r="AI130" s="214">
        <v>0</v>
      </c>
      <c r="AJ130" s="214">
        <v>0</v>
      </c>
      <c r="AK130" s="214">
        <v>0</v>
      </c>
      <c r="AL130" s="214">
        <v>0</v>
      </c>
    </row>
    <row r="131" spans="1:38" x14ac:dyDescent="0.25">
      <c r="A131" s="214" t="s">
        <v>696</v>
      </c>
      <c r="B131" s="214">
        <v>55.1</v>
      </c>
      <c r="C131" s="214">
        <v>0</v>
      </c>
      <c r="D131" s="214">
        <v>0</v>
      </c>
      <c r="E131" s="214">
        <v>0</v>
      </c>
      <c r="F131" s="214">
        <v>0</v>
      </c>
      <c r="G131" s="214">
        <v>0</v>
      </c>
      <c r="H131" s="214">
        <v>0</v>
      </c>
      <c r="I131" s="214">
        <v>0</v>
      </c>
      <c r="J131" s="214">
        <v>0</v>
      </c>
      <c r="K131" s="214">
        <v>0</v>
      </c>
      <c r="L131" s="214">
        <v>0</v>
      </c>
      <c r="M131" s="214">
        <v>0</v>
      </c>
      <c r="N131" s="214">
        <v>0</v>
      </c>
      <c r="O131" s="214">
        <v>0</v>
      </c>
      <c r="P131" s="214">
        <v>0</v>
      </c>
      <c r="Q131" s="214">
        <v>0</v>
      </c>
      <c r="R131" s="214">
        <v>0</v>
      </c>
      <c r="S131" s="214">
        <v>0</v>
      </c>
      <c r="T131" s="214">
        <v>0</v>
      </c>
      <c r="U131" s="214">
        <v>0</v>
      </c>
      <c r="V131" s="214">
        <v>0</v>
      </c>
      <c r="W131" s="214">
        <v>0</v>
      </c>
      <c r="X131" s="214">
        <v>68.3</v>
      </c>
      <c r="Y131" s="214">
        <v>68.3</v>
      </c>
      <c r="Z131" s="214">
        <v>68.3</v>
      </c>
      <c r="AA131" s="214">
        <v>0</v>
      </c>
      <c r="AB131" s="214">
        <v>0</v>
      </c>
      <c r="AC131" s="214">
        <v>0</v>
      </c>
      <c r="AD131" s="214">
        <v>0</v>
      </c>
      <c r="AE131" s="214">
        <v>0</v>
      </c>
      <c r="AF131" s="214">
        <v>0</v>
      </c>
      <c r="AG131" s="214">
        <v>0</v>
      </c>
      <c r="AH131" s="214">
        <v>0</v>
      </c>
      <c r="AI131" s="214">
        <v>0</v>
      </c>
      <c r="AJ131" s="214">
        <v>0</v>
      </c>
      <c r="AK131" s="214">
        <v>0</v>
      </c>
      <c r="AL131" s="214">
        <v>0</v>
      </c>
    </row>
    <row r="132" spans="1:38" x14ac:dyDescent="0.25">
      <c r="A132" s="214" t="s">
        <v>695</v>
      </c>
      <c r="B132" s="214">
        <v>0</v>
      </c>
      <c r="C132" s="214">
        <v>0</v>
      </c>
      <c r="D132" s="214">
        <v>0</v>
      </c>
      <c r="E132" s="214">
        <v>0</v>
      </c>
      <c r="F132" s="214">
        <v>0</v>
      </c>
      <c r="G132" s="214">
        <v>0</v>
      </c>
      <c r="H132" s="214">
        <v>0</v>
      </c>
      <c r="I132" s="214">
        <v>0</v>
      </c>
      <c r="J132" s="214">
        <v>0</v>
      </c>
      <c r="K132" s="214">
        <v>0</v>
      </c>
      <c r="L132" s="214">
        <v>0</v>
      </c>
      <c r="M132" s="214">
        <v>0</v>
      </c>
      <c r="N132" s="214">
        <v>0</v>
      </c>
      <c r="O132" s="214">
        <v>0</v>
      </c>
      <c r="P132" s="214">
        <v>0</v>
      </c>
      <c r="Q132" s="214">
        <v>0</v>
      </c>
      <c r="R132" s="214">
        <v>0</v>
      </c>
      <c r="S132" s="214">
        <v>0</v>
      </c>
      <c r="T132" s="214">
        <v>0</v>
      </c>
      <c r="U132" s="214">
        <v>0</v>
      </c>
      <c r="V132" s="214">
        <v>0</v>
      </c>
      <c r="W132" s="214">
        <v>0</v>
      </c>
      <c r="X132" s="214">
        <v>66.099999999999994</v>
      </c>
      <c r="Y132" s="214">
        <v>99.2</v>
      </c>
      <c r="Z132" s="214">
        <v>99.2</v>
      </c>
      <c r="AA132" s="214">
        <v>0</v>
      </c>
      <c r="AB132" s="214">
        <v>0</v>
      </c>
      <c r="AC132" s="214">
        <v>0</v>
      </c>
      <c r="AD132" s="214">
        <v>0</v>
      </c>
      <c r="AE132" s="214">
        <v>0</v>
      </c>
      <c r="AF132" s="214">
        <v>0</v>
      </c>
      <c r="AG132" s="214">
        <v>0</v>
      </c>
      <c r="AH132" s="214">
        <v>0</v>
      </c>
      <c r="AI132" s="214">
        <v>0</v>
      </c>
      <c r="AJ132" s="214">
        <v>0</v>
      </c>
      <c r="AK132" s="214">
        <v>0</v>
      </c>
      <c r="AL132" s="214">
        <v>0</v>
      </c>
    </row>
    <row r="133" spans="1:38" x14ac:dyDescent="0.25">
      <c r="A133" s="214" t="s">
        <v>415</v>
      </c>
      <c r="B133" s="214">
        <v>0</v>
      </c>
      <c r="C133" s="214">
        <v>0</v>
      </c>
      <c r="D133" s="214">
        <v>0</v>
      </c>
      <c r="E133" s="214">
        <v>104.7</v>
      </c>
      <c r="F133" s="214">
        <v>170.9</v>
      </c>
      <c r="G133" s="214">
        <v>183</v>
      </c>
      <c r="H133" s="214">
        <v>183</v>
      </c>
      <c r="I133" s="214">
        <v>137.80000000000001</v>
      </c>
      <c r="J133" s="214">
        <v>0</v>
      </c>
      <c r="K133" s="214">
        <v>0</v>
      </c>
      <c r="L133" s="214">
        <v>0</v>
      </c>
      <c r="M133" s="214">
        <v>0</v>
      </c>
      <c r="N133" s="214">
        <v>0</v>
      </c>
      <c r="O133" s="214">
        <v>0</v>
      </c>
      <c r="P133" s="214">
        <v>0</v>
      </c>
      <c r="Q133" s="214">
        <v>0</v>
      </c>
      <c r="R133" s="214">
        <v>0</v>
      </c>
      <c r="S133" s="214">
        <v>0</v>
      </c>
      <c r="T133" s="214">
        <v>0</v>
      </c>
      <c r="U133" s="214">
        <v>132.30000000000001</v>
      </c>
      <c r="V133" s="214">
        <v>137.80000000000001</v>
      </c>
      <c r="W133" s="214">
        <v>154.30000000000001</v>
      </c>
      <c r="X133" s="214">
        <v>0</v>
      </c>
      <c r="Y133" s="214">
        <v>71.7</v>
      </c>
      <c r="Z133" s="214">
        <v>94.8</v>
      </c>
      <c r="AA133" s="214">
        <v>154.30000000000001</v>
      </c>
      <c r="AB133" s="214">
        <v>137.80000000000001</v>
      </c>
      <c r="AC133" s="214">
        <v>0</v>
      </c>
      <c r="AD133" s="214">
        <v>0</v>
      </c>
      <c r="AE133" s="214">
        <v>0</v>
      </c>
      <c r="AF133" s="214">
        <v>0</v>
      </c>
      <c r="AG133" s="214">
        <v>0</v>
      </c>
      <c r="AH133" s="214">
        <v>0</v>
      </c>
      <c r="AI133" s="214">
        <v>0</v>
      </c>
      <c r="AJ133" s="214">
        <v>0</v>
      </c>
      <c r="AK133" s="214">
        <v>0</v>
      </c>
      <c r="AL133" s="214">
        <v>0</v>
      </c>
    </row>
    <row r="134" spans="1:38" x14ac:dyDescent="0.25">
      <c r="A134" s="214" t="s">
        <v>416</v>
      </c>
      <c r="B134" s="214">
        <v>0</v>
      </c>
      <c r="C134" s="214">
        <v>0</v>
      </c>
      <c r="D134" s="214">
        <v>82.7</v>
      </c>
      <c r="E134" s="214">
        <v>159.80000000000001</v>
      </c>
      <c r="F134" s="214">
        <v>181.9</v>
      </c>
      <c r="G134" s="214">
        <v>187.4</v>
      </c>
      <c r="H134" s="214">
        <v>203.9</v>
      </c>
      <c r="I134" s="214">
        <v>203.9</v>
      </c>
      <c r="J134" s="214">
        <v>170</v>
      </c>
      <c r="K134" s="214">
        <v>170</v>
      </c>
      <c r="L134" s="214">
        <v>159.80000000000001</v>
      </c>
      <c r="M134" s="214">
        <v>159.80000000000001</v>
      </c>
      <c r="N134" s="214">
        <v>110.2</v>
      </c>
      <c r="O134" s="214">
        <v>110.2</v>
      </c>
      <c r="P134" s="214">
        <v>99.2</v>
      </c>
      <c r="Q134" s="214">
        <v>88.2</v>
      </c>
      <c r="R134" s="214">
        <v>0</v>
      </c>
      <c r="S134" s="214">
        <v>0</v>
      </c>
      <c r="T134" s="214">
        <v>0</v>
      </c>
      <c r="U134" s="214">
        <v>143.30000000000001</v>
      </c>
      <c r="V134" s="214">
        <v>143.30000000000001</v>
      </c>
      <c r="W134" s="214">
        <v>165.3</v>
      </c>
      <c r="X134" s="214">
        <v>60.6</v>
      </c>
      <c r="Y134" s="214">
        <v>60.6</v>
      </c>
      <c r="Z134" s="214">
        <v>143.30000000000001</v>
      </c>
      <c r="AA134" s="214">
        <v>187.4</v>
      </c>
      <c r="AB134" s="214">
        <v>187.4</v>
      </c>
      <c r="AC134" s="214">
        <v>143.30000000000001</v>
      </c>
      <c r="AD134" s="214">
        <v>105.8</v>
      </c>
      <c r="AE134" s="214">
        <v>105.8</v>
      </c>
      <c r="AF134" s="214">
        <v>115.7</v>
      </c>
      <c r="AG134" s="214">
        <v>115.7</v>
      </c>
      <c r="AH134" s="214">
        <v>99.2</v>
      </c>
      <c r="AI134" s="214">
        <v>88.2</v>
      </c>
      <c r="AJ134" s="214">
        <v>0</v>
      </c>
      <c r="AK134" s="214">
        <v>0</v>
      </c>
      <c r="AL134" s="214">
        <v>0</v>
      </c>
    </row>
    <row r="135" spans="1:38" x14ac:dyDescent="0.25">
      <c r="A135" s="214" t="s">
        <v>417</v>
      </c>
      <c r="B135" s="214">
        <v>0</v>
      </c>
      <c r="C135" s="214">
        <v>0</v>
      </c>
      <c r="D135" s="214">
        <v>0</v>
      </c>
      <c r="E135" s="214">
        <v>226</v>
      </c>
      <c r="F135" s="214">
        <v>237</v>
      </c>
      <c r="G135" s="214">
        <v>237</v>
      </c>
      <c r="H135" s="214">
        <v>292.10000000000002</v>
      </c>
      <c r="I135" s="214">
        <v>292.10000000000002</v>
      </c>
      <c r="J135" s="214">
        <v>248</v>
      </c>
      <c r="K135" s="214">
        <v>203.9</v>
      </c>
      <c r="L135" s="214">
        <v>192.9</v>
      </c>
      <c r="M135" s="214">
        <v>192.9</v>
      </c>
      <c r="N135" s="214">
        <v>165.3</v>
      </c>
      <c r="O135" s="214">
        <v>148.80000000000001</v>
      </c>
      <c r="P135" s="214">
        <v>112.4</v>
      </c>
      <c r="Q135" s="214">
        <v>112.4</v>
      </c>
      <c r="R135" s="214">
        <v>0</v>
      </c>
      <c r="S135" s="214">
        <v>55.1</v>
      </c>
      <c r="T135" s="214">
        <v>50</v>
      </c>
      <c r="U135" s="214">
        <v>154.30000000000001</v>
      </c>
      <c r="V135" s="214">
        <v>187.4</v>
      </c>
      <c r="W135" s="214">
        <v>187.4</v>
      </c>
      <c r="X135" s="214">
        <v>44.1</v>
      </c>
      <c r="Y135" s="214">
        <v>99.2</v>
      </c>
      <c r="Z135" s="214">
        <v>104.7</v>
      </c>
      <c r="AA135" s="214">
        <v>220.5</v>
      </c>
      <c r="AB135" s="214">
        <v>220.5</v>
      </c>
      <c r="AC135" s="214">
        <v>215</v>
      </c>
      <c r="AD135" s="214">
        <v>177.5</v>
      </c>
      <c r="AE135" s="214">
        <v>177.5</v>
      </c>
      <c r="AF135" s="214">
        <v>143.30000000000001</v>
      </c>
      <c r="AG135" s="214">
        <v>143.30000000000001</v>
      </c>
      <c r="AH135" s="214">
        <v>115.7</v>
      </c>
      <c r="AI135" s="214">
        <v>115.7</v>
      </c>
      <c r="AJ135" s="214">
        <v>93.7</v>
      </c>
      <c r="AK135" s="214">
        <v>0</v>
      </c>
      <c r="AL135" s="214">
        <v>0</v>
      </c>
    </row>
    <row r="136" spans="1:38" x14ac:dyDescent="0.25">
      <c r="A136" s="214" t="s">
        <v>418</v>
      </c>
      <c r="B136" s="214">
        <v>0</v>
      </c>
      <c r="C136" s="214">
        <v>0</v>
      </c>
      <c r="D136" s="214">
        <v>0</v>
      </c>
      <c r="E136" s="214">
        <v>183</v>
      </c>
      <c r="F136" s="214">
        <v>242.5</v>
      </c>
      <c r="G136" s="214">
        <v>253.5</v>
      </c>
      <c r="H136" s="214">
        <v>303.10000000000002</v>
      </c>
      <c r="I136" s="214">
        <v>303.10000000000002</v>
      </c>
      <c r="J136" s="214">
        <v>286.60000000000002</v>
      </c>
      <c r="K136" s="214">
        <v>248</v>
      </c>
      <c r="L136" s="214">
        <v>248</v>
      </c>
      <c r="M136" s="214">
        <v>248</v>
      </c>
      <c r="N136" s="214">
        <v>133.4</v>
      </c>
      <c r="O136" s="214">
        <v>157.6</v>
      </c>
      <c r="P136" s="214">
        <v>157.6</v>
      </c>
      <c r="Q136" s="214">
        <v>157.6</v>
      </c>
      <c r="R136" s="214">
        <v>0</v>
      </c>
      <c r="S136" s="214">
        <v>0</v>
      </c>
      <c r="T136" s="214">
        <v>0</v>
      </c>
      <c r="U136" s="214">
        <v>165.3</v>
      </c>
      <c r="V136" s="214">
        <v>187.4</v>
      </c>
      <c r="W136" s="214">
        <v>209.4</v>
      </c>
      <c r="X136" s="214">
        <v>0</v>
      </c>
      <c r="Y136" s="214">
        <v>99.2</v>
      </c>
      <c r="Z136" s="214">
        <v>138.9</v>
      </c>
      <c r="AA136" s="214">
        <v>209.4</v>
      </c>
      <c r="AB136" s="214">
        <v>220.5</v>
      </c>
      <c r="AC136" s="214">
        <v>181.9</v>
      </c>
      <c r="AD136" s="214">
        <v>176.4</v>
      </c>
      <c r="AE136" s="214">
        <v>176.4</v>
      </c>
      <c r="AF136" s="214">
        <v>148.80000000000001</v>
      </c>
      <c r="AG136" s="214">
        <v>132.30000000000001</v>
      </c>
      <c r="AH136" s="214">
        <v>104.7</v>
      </c>
      <c r="AI136" s="214">
        <v>104.7</v>
      </c>
      <c r="AJ136" s="214">
        <v>88.2</v>
      </c>
      <c r="AK136" s="214">
        <v>0</v>
      </c>
      <c r="AL136" s="214">
        <v>0</v>
      </c>
    </row>
    <row r="137" spans="1:38" x14ac:dyDescent="0.25">
      <c r="A137" s="214" t="s">
        <v>419</v>
      </c>
      <c r="B137" s="214">
        <v>0</v>
      </c>
      <c r="C137" s="214">
        <v>55.1</v>
      </c>
      <c r="D137" s="214">
        <v>0</v>
      </c>
      <c r="E137" s="214">
        <v>203.9</v>
      </c>
      <c r="F137" s="214">
        <v>242.5</v>
      </c>
      <c r="G137" s="214">
        <v>259</v>
      </c>
      <c r="H137" s="214">
        <v>275.60000000000002</v>
      </c>
      <c r="I137" s="214">
        <v>330.7</v>
      </c>
      <c r="J137" s="214">
        <v>309.7</v>
      </c>
      <c r="K137" s="214">
        <v>286.60000000000002</v>
      </c>
      <c r="L137" s="214">
        <v>286.60000000000002</v>
      </c>
      <c r="M137" s="214">
        <v>226</v>
      </c>
      <c r="N137" s="214">
        <v>170.9</v>
      </c>
      <c r="O137" s="214">
        <v>159.80000000000001</v>
      </c>
      <c r="P137" s="214">
        <v>159.80000000000001</v>
      </c>
      <c r="Q137" s="214">
        <v>77.2</v>
      </c>
      <c r="R137" s="214">
        <v>0</v>
      </c>
      <c r="S137" s="214">
        <v>0</v>
      </c>
      <c r="T137" s="214">
        <v>0</v>
      </c>
      <c r="U137" s="214">
        <v>143.30000000000001</v>
      </c>
      <c r="V137" s="214">
        <v>181.9</v>
      </c>
      <c r="W137" s="214">
        <v>209.4</v>
      </c>
      <c r="X137" s="214">
        <v>0</v>
      </c>
      <c r="Y137" s="214">
        <v>71.7</v>
      </c>
      <c r="Z137" s="214">
        <v>127.9</v>
      </c>
      <c r="AA137" s="214">
        <v>220.5</v>
      </c>
      <c r="AB137" s="214">
        <v>317.5</v>
      </c>
      <c r="AC137" s="214">
        <v>317.5</v>
      </c>
      <c r="AD137" s="214">
        <v>317.5</v>
      </c>
      <c r="AE137" s="214">
        <v>176.4</v>
      </c>
      <c r="AF137" s="214">
        <v>165.3</v>
      </c>
      <c r="AG137" s="214">
        <v>160.9</v>
      </c>
      <c r="AH137" s="214">
        <v>137.80000000000001</v>
      </c>
      <c r="AI137" s="214">
        <v>137.80000000000001</v>
      </c>
      <c r="AJ137" s="214">
        <v>71.7</v>
      </c>
      <c r="AK137" s="214">
        <v>0</v>
      </c>
      <c r="AL137" s="214">
        <v>0</v>
      </c>
    </row>
    <row r="138" spans="1:38" x14ac:dyDescent="0.25">
      <c r="A138" s="214" t="s">
        <v>420</v>
      </c>
      <c r="B138" s="214">
        <v>0</v>
      </c>
      <c r="C138" s="214">
        <v>0</v>
      </c>
      <c r="D138" s="214">
        <v>0</v>
      </c>
      <c r="E138" s="214">
        <v>198.4</v>
      </c>
      <c r="F138" s="214">
        <v>264.60000000000002</v>
      </c>
      <c r="G138" s="214">
        <v>292.10000000000002</v>
      </c>
      <c r="H138" s="214">
        <v>308.60000000000002</v>
      </c>
      <c r="I138" s="214">
        <v>374.8</v>
      </c>
      <c r="J138" s="214">
        <v>363.8</v>
      </c>
      <c r="K138" s="214">
        <v>363.8</v>
      </c>
      <c r="L138" s="214">
        <v>253.5</v>
      </c>
      <c r="M138" s="214">
        <v>231.5</v>
      </c>
      <c r="N138" s="214">
        <v>203.9</v>
      </c>
      <c r="O138" s="214">
        <v>203.9</v>
      </c>
      <c r="P138" s="214">
        <v>198.4</v>
      </c>
      <c r="Q138" s="214">
        <v>110.2</v>
      </c>
      <c r="R138" s="214">
        <v>0</v>
      </c>
      <c r="S138" s="214">
        <v>0</v>
      </c>
      <c r="T138" s="214">
        <v>0</v>
      </c>
      <c r="U138" s="214">
        <v>147.69999999999999</v>
      </c>
      <c r="V138" s="214">
        <v>237</v>
      </c>
      <c r="W138" s="214">
        <v>253.5</v>
      </c>
      <c r="X138" s="214">
        <v>0</v>
      </c>
      <c r="Y138" s="214">
        <v>71.7</v>
      </c>
      <c r="Z138" s="214">
        <v>127.9</v>
      </c>
      <c r="AA138" s="214">
        <v>253.5</v>
      </c>
      <c r="AB138" s="214">
        <v>317.5</v>
      </c>
      <c r="AC138" s="214">
        <v>317.5</v>
      </c>
      <c r="AD138" s="214">
        <v>253.5</v>
      </c>
      <c r="AE138" s="214">
        <v>231.5</v>
      </c>
      <c r="AF138" s="214">
        <v>177.5</v>
      </c>
      <c r="AG138" s="214">
        <v>177.5</v>
      </c>
      <c r="AH138" s="214">
        <v>154.30000000000001</v>
      </c>
      <c r="AI138" s="214">
        <v>148.80000000000001</v>
      </c>
      <c r="AJ138" s="214">
        <v>93.7</v>
      </c>
      <c r="AK138" s="214">
        <v>66.099999999999994</v>
      </c>
      <c r="AL138" s="214">
        <v>66.099999999999994</v>
      </c>
    </row>
    <row r="139" spans="1:38" x14ac:dyDescent="0.25">
      <c r="A139" s="214" t="s">
        <v>421</v>
      </c>
      <c r="B139" s="214">
        <v>0</v>
      </c>
      <c r="C139" s="214">
        <v>60.6</v>
      </c>
      <c r="D139" s="214">
        <v>77.2</v>
      </c>
      <c r="E139" s="214">
        <v>270.10000000000002</v>
      </c>
      <c r="F139" s="214">
        <v>308.60000000000002</v>
      </c>
      <c r="G139" s="214">
        <v>341.7</v>
      </c>
      <c r="H139" s="214">
        <v>366</v>
      </c>
      <c r="I139" s="214">
        <v>424.4</v>
      </c>
      <c r="J139" s="214">
        <v>424.4</v>
      </c>
      <c r="K139" s="214">
        <v>424.4</v>
      </c>
      <c r="L139" s="214">
        <v>287.7</v>
      </c>
      <c r="M139" s="214">
        <v>215</v>
      </c>
      <c r="N139" s="214">
        <v>192.9</v>
      </c>
      <c r="O139" s="214">
        <v>143.30000000000001</v>
      </c>
      <c r="P139" s="214">
        <v>165.3</v>
      </c>
      <c r="Q139" s="214">
        <v>165.3</v>
      </c>
      <c r="R139" s="214">
        <v>0</v>
      </c>
      <c r="S139" s="214">
        <v>0</v>
      </c>
      <c r="T139" s="214">
        <v>0</v>
      </c>
      <c r="U139" s="214">
        <v>170.9</v>
      </c>
      <c r="V139" s="214">
        <v>231.5</v>
      </c>
      <c r="W139" s="214">
        <v>281.10000000000002</v>
      </c>
      <c r="X139" s="214">
        <v>0</v>
      </c>
      <c r="Y139" s="214">
        <v>93.7</v>
      </c>
      <c r="Z139" s="214">
        <v>115.7</v>
      </c>
      <c r="AA139" s="214">
        <v>281.10000000000002</v>
      </c>
      <c r="AB139" s="214">
        <v>281.10000000000002</v>
      </c>
      <c r="AC139" s="214">
        <v>275.60000000000002</v>
      </c>
      <c r="AD139" s="214">
        <v>275.60000000000002</v>
      </c>
      <c r="AE139" s="214">
        <v>220.5</v>
      </c>
      <c r="AF139" s="214">
        <v>203.9</v>
      </c>
      <c r="AG139" s="214">
        <v>165.3</v>
      </c>
      <c r="AH139" s="214">
        <v>165.3</v>
      </c>
      <c r="AI139" s="214">
        <v>165.3</v>
      </c>
      <c r="AJ139" s="214">
        <v>165.3</v>
      </c>
      <c r="AK139" s="214">
        <v>55.1</v>
      </c>
      <c r="AL139" s="214">
        <v>0</v>
      </c>
    </row>
    <row r="140" spans="1:38" x14ac:dyDescent="0.25">
      <c r="A140" s="214" t="s">
        <v>422</v>
      </c>
      <c r="B140" s="214">
        <v>0</v>
      </c>
      <c r="C140" s="214">
        <v>0</v>
      </c>
      <c r="D140" s="214">
        <v>0</v>
      </c>
      <c r="E140" s="214">
        <v>248</v>
      </c>
      <c r="F140" s="214">
        <v>370.4</v>
      </c>
      <c r="G140" s="214">
        <v>392.4</v>
      </c>
      <c r="H140" s="214">
        <v>418.9</v>
      </c>
      <c r="I140" s="214">
        <v>463</v>
      </c>
      <c r="J140" s="214">
        <v>420</v>
      </c>
      <c r="K140" s="214">
        <v>402.3</v>
      </c>
      <c r="L140" s="214">
        <v>380.3</v>
      </c>
      <c r="M140" s="214">
        <v>352.7</v>
      </c>
      <c r="N140" s="214">
        <v>270.10000000000002</v>
      </c>
      <c r="O140" s="214">
        <v>187.4</v>
      </c>
      <c r="P140" s="214">
        <v>176.4</v>
      </c>
      <c r="Q140" s="214">
        <v>0</v>
      </c>
      <c r="R140" s="214">
        <v>0</v>
      </c>
      <c r="S140" s="214">
        <v>0</v>
      </c>
      <c r="T140" s="214">
        <v>0</v>
      </c>
      <c r="U140" s="214">
        <v>209.4</v>
      </c>
      <c r="V140" s="214">
        <v>264.60000000000002</v>
      </c>
      <c r="W140" s="214">
        <v>264.60000000000002</v>
      </c>
      <c r="X140" s="214">
        <v>0</v>
      </c>
      <c r="Y140" s="214">
        <v>93.7</v>
      </c>
      <c r="Z140" s="214">
        <v>110.2</v>
      </c>
      <c r="AA140" s="214">
        <v>264.60000000000002</v>
      </c>
      <c r="AB140" s="214">
        <v>334</v>
      </c>
      <c r="AC140" s="214">
        <v>270.10000000000002</v>
      </c>
      <c r="AD140" s="214">
        <v>264.60000000000002</v>
      </c>
      <c r="AE140" s="214">
        <v>264.60000000000002</v>
      </c>
      <c r="AF140" s="214">
        <v>205</v>
      </c>
      <c r="AG140" s="214">
        <v>187.4</v>
      </c>
      <c r="AH140" s="214">
        <v>176.4</v>
      </c>
      <c r="AI140" s="214">
        <v>176.4</v>
      </c>
      <c r="AJ140" s="214">
        <v>157.6</v>
      </c>
      <c r="AK140" s="214">
        <v>88.2</v>
      </c>
      <c r="AL140" s="214">
        <v>0</v>
      </c>
    </row>
    <row r="141" spans="1:38" x14ac:dyDescent="0.25">
      <c r="A141" s="214" t="s">
        <v>250</v>
      </c>
      <c r="B141" s="214">
        <v>0</v>
      </c>
      <c r="C141" s="214">
        <v>0</v>
      </c>
      <c r="D141" s="214">
        <v>0</v>
      </c>
      <c r="E141" s="214">
        <v>0</v>
      </c>
      <c r="F141" s="214">
        <v>0</v>
      </c>
      <c r="G141" s="214">
        <v>0</v>
      </c>
      <c r="H141" s="214">
        <v>0</v>
      </c>
      <c r="I141" s="214">
        <v>0</v>
      </c>
      <c r="J141" s="214">
        <v>0</v>
      </c>
      <c r="K141" s="214">
        <v>0</v>
      </c>
      <c r="L141" s="214">
        <v>0</v>
      </c>
      <c r="M141" s="214">
        <v>0</v>
      </c>
      <c r="N141" s="214">
        <v>0</v>
      </c>
      <c r="O141" s="214">
        <v>0</v>
      </c>
      <c r="P141" s="214">
        <v>0</v>
      </c>
      <c r="Q141" s="214">
        <v>0</v>
      </c>
      <c r="R141" s="214">
        <v>0</v>
      </c>
      <c r="S141" s="214">
        <v>0</v>
      </c>
      <c r="T141" s="214">
        <v>0</v>
      </c>
      <c r="U141" s="214">
        <v>0</v>
      </c>
      <c r="V141" s="214">
        <v>0</v>
      </c>
      <c r="W141" s="214">
        <v>0</v>
      </c>
      <c r="X141" s="214">
        <v>132.30000000000001</v>
      </c>
      <c r="Y141" s="214">
        <v>143.30000000000001</v>
      </c>
      <c r="Z141" s="214">
        <v>143.30000000000001</v>
      </c>
      <c r="AA141" s="214">
        <v>0</v>
      </c>
      <c r="AB141" s="214">
        <v>0</v>
      </c>
      <c r="AC141" s="214">
        <v>0</v>
      </c>
      <c r="AD141" s="214">
        <v>0</v>
      </c>
      <c r="AE141" s="214">
        <v>0</v>
      </c>
      <c r="AF141" s="214">
        <v>0</v>
      </c>
      <c r="AG141" s="214">
        <v>0</v>
      </c>
      <c r="AH141" s="214">
        <v>0</v>
      </c>
      <c r="AI141" s="214">
        <v>0</v>
      </c>
      <c r="AJ141" s="214">
        <v>0</v>
      </c>
      <c r="AK141" s="214">
        <v>0</v>
      </c>
      <c r="AL141" s="214">
        <v>0</v>
      </c>
    </row>
    <row r="142" spans="1:38" x14ac:dyDescent="0.25">
      <c r="A142" s="214" t="s">
        <v>694</v>
      </c>
      <c r="B142" s="214">
        <v>126.8</v>
      </c>
      <c r="C142" s="214">
        <v>0</v>
      </c>
      <c r="D142" s="214">
        <v>0</v>
      </c>
      <c r="E142" s="214">
        <v>0</v>
      </c>
      <c r="F142" s="214">
        <v>0</v>
      </c>
      <c r="G142" s="214">
        <v>0</v>
      </c>
      <c r="H142" s="214">
        <v>0</v>
      </c>
      <c r="I142" s="214">
        <v>0</v>
      </c>
      <c r="J142" s="214">
        <v>0</v>
      </c>
      <c r="K142" s="214">
        <v>0</v>
      </c>
      <c r="L142" s="214">
        <v>0</v>
      </c>
      <c r="M142" s="214">
        <v>0</v>
      </c>
      <c r="N142" s="214">
        <v>0</v>
      </c>
      <c r="O142" s="214">
        <v>0</v>
      </c>
      <c r="P142" s="214">
        <v>0</v>
      </c>
      <c r="Q142" s="214">
        <v>0</v>
      </c>
      <c r="R142" s="214">
        <v>0</v>
      </c>
      <c r="S142" s="214">
        <v>0</v>
      </c>
      <c r="T142" s="214">
        <v>0</v>
      </c>
      <c r="U142" s="214">
        <v>0</v>
      </c>
      <c r="V142" s="214">
        <v>0</v>
      </c>
      <c r="W142" s="214">
        <v>0</v>
      </c>
      <c r="X142" s="214">
        <v>167.6</v>
      </c>
      <c r="Y142" s="214">
        <v>167.6</v>
      </c>
      <c r="Z142" s="214">
        <v>167.6</v>
      </c>
      <c r="AA142" s="214">
        <v>0</v>
      </c>
      <c r="AB142" s="214">
        <v>0</v>
      </c>
      <c r="AC142" s="214">
        <v>0</v>
      </c>
      <c r="AD142" s="214">
        <v>0</v>
      </c>
      <c r="AE142" s="214">
        <v>0</v>
      </c>
      <c r="AF142" s="214">
        <v>0</v>
      </c>
      <c r="AG142" s="214">
        <v>0</v>
      </c>
      <c r="AH142" s="214">
        <v>0</v>
      </c>
      <c r="AI142" s="214">
        <v>0</v>
      </c>
      <c r="AJ142" s="214">
        <v>0</v>
      </c>
      <c r="AK142" s="214">
        <v>0</v>
      </c>
      <c r="AL142" s="214">
        <v>0</v>
      </c>
    </row>
    <row r="143" spans="1:38" x14ac:dyDescent="0.25">
      <c r="A143" s="214" t="s">
        <v>693</v>
      </c>
      <c r="B143" s="214">
        <v>0</v>
      </c>
      <c r="C143" s="214">
        <v>0</v>
      </c>
      <c r="D143" s="214">
        <v>0</v>
      </c>
      <c r="E143" s="214">
        <v>0</v>
      </c>
      <c r="F143" s="214">
        <v>0</v>
      </c>
      <c r="G143" s="214">
        <v>0</v>
      </c>
      <c r="H143" s="214">
        <v>0</v>
      </c>
      <c r="I143" s="214">
        <v>0</v>
      </c>
      <c r="J143" s="214">
        <v>0</v>
      </c>
      <c r="K143" s="214">
        <v>0</v>
      </c>
      <c r="L143" s="214">
        <v>0</v>
      </c>
      <c r="M143" s="214">
        <v>0</v>
      </c>
      <c r="N143" s="214">
        <v>0</v>
      </c>
      <c r="O143" s="214">
        <v>0</v>
      </c>
      <c r="P143" s="214">
        <v>0</v>
      </c>
      <c r="Q143" s="214">
        <v>0</v>
      </c>
      <c r="R143" s="214">
        <v>0</v>
      </c>
      <c r="S143" s="214">
        <v>0</v>
      </c>
      <c r="T143" s="214">
        <v>0</v>
      </c>
      <c r="U143" s="214">
        <v>0</v>
      </c>
      <c r="V143" s="214">
        <v>0</v>
      </c>
      <c r="W143" s="214">
        <v>0</v>
      </c>
      <c r="X143" s="214">
        <v>159.80000000000001</v>
      </c>
      <c r="Y143" s="214">
        <v>192.9</v>
      </c>
      <c r="Z143" s="214">
        <v>200</v>
      </c>
      <c r="AA143" s="214">
        <v>0</v>
      </c>
      <c r="AB143" s="214">
        <v>0</v>
      </c>
      <c r="AC143" s="214">
        <v>0</v>
      </c>
      <c r="AD143" s="214">
        <v>0</v>
      </c>
      <c r="AE143" s="214">
        <v>0</v>
      </c>
      <c r="AF143" s="214">
        <v>0</v>
      </c>
      <c r="AG143" s="214">
        <v>0</v>
      </c>
      <c r="AH143" s="214">
        <v>0</v>
      </c>
      <c r="AI143" s="214">
        <v>0</v>
      </c>
      <c r="AJ143" s="214">
        <v>0</v>
      </c>
      <c r="AK143" s="214">
        <v>0</v>
      </c>
      <c r="AL143" s="214">
        <v>0</v>
      </c>
    </row>
    <row r="144" spans="1:38" x14ac:dyDescent="0.25">
      <c r="A144" s="214" t="s">
        <v>423</v>
      </c>
      <c r="B144" s="214">
        <v>0</v>
      </c>
      <c r="C144" s="214">
        <v>0</v>
      </c>
      <c r="D144" s="214">
        <v>0</v>
      </c>
      <c r="E144" s="214">
        <v>203.9</v>
      </c>
      <c r="F144" s="214">
        <v>314.2</v>
      </c>
      <c r="G144" s="214">
        <v>314.2</v>
      </c>
      <c r="H144" s="214">
        <v>314.2</v>
      </c>
      <c r="I144" s="214">
        <v>314.2</v>
      </c>
      <c r="J144" s="214">
        <v>0</v>
      </c>
      <c r="K144" s="214">
        <v>0</v>
      </c>
      <c r="L144" s="214">
        <v>0</v>
      </c>
      <c r="M144" s="214">
        <v>0</v>
      </c>
      <c r="N144" s="214">
        <v>0</v>
      </c>
      <c r="O144" s="214">
        <v>0</v>
      </c>
      <c r="P144" s="214">
        <v>0</v>
      </c>
      <c r="Q144" s="214">
        <v>0</v>
      </c>
      <c r="R144" s="214">
        <v>0</v>
      </c>
      <c r="S144" s="214">
        <v>0</v>
      </c>
      <c r="T144" s="214">
        <v>0</v>
      </c>
      <c r="U144" s="214">
        <v>231.5</v>
      </c>
      <c r="V144" s="214">
        <v>275.60000000000002</v>
      </c>
      <c r="W144" s="214">
        <v>275.60000000000002</v>
      </c>
      <c r="X144" s="214">
        <v>0</v>
      </c>
      <c r="Y144" s="214">
        <v>165.3</v>
      </c>
      <c r="Z144" s="214">
        <v>203.9</v>
      </c>
      <c r="AA144" s="214">
        <v>275.60000000000002</v>
      </c>
      <c r="AB144" s="214">
        <v>275.60000000000002</v>
      </c>
      <c r="AC144" s="214">
        <v>0</v>
      </c>
      <c r="AD144" s="214">
        <v>0</v>
      </c>
      <c r="AE144" s="214">
        <v>0</v>
      </c>
      <c r="AF144" s="214">
        <v>0</v>
      </c>
      <c r="AG144" s="214">
        <v>0</v>
      </c>
      <c r="AH144" s="214">
        <v>0</v>
      </c>
      <c r="AI144" s="214">
        <v>0</v>
      </c>
      <c r="AJ144" s="214">
        <v>0</v>
      </c>
      <c r="AK144" s="214">
        <v>0</v>
      </c>
      <c r="AL144" s="214">
        <v>0</v>
      </c>
    </row>
    <row r="145" spans="1:38" x14ac:dyDescent="0.25">
      <c r="A145" s="214" t="s">
        <v>424</v>
      </c>
      <c r="B145" s="214">
        <v>0</v>
      </c>
      <c r="C145" s="214">
        <v>0</v>
      </c>
      <c r="D145" s="214">
        <v>170.9</v>
      </c>
      <c r="E145" s="214">
        <v>325.2</v>
      </c>
      <c r="F145" s="214">
        <v>325.2</v>
      </c>
      <c r="G145" s="214">
        <v>352.7</v>
      </c>
      <c r="H145" s="214">
        <v>358.3</v>
      </c>
      <c r="I145" s="214">
        <v>358.3</v>
      </c>
      <c r="J145" s="214">
        <v>336.2</v>
      </c>
      <c r="K145" s="214">
        <v>336.2</v>
      </c>
      <c r="L145" s="214">
        <v>319.7</v>
      </c>
      <c r="M145" s="214">
        <v>314.2</v>
      </c>
      <c r="N145" s="214">
        <v>281.10000000000002</v>
      </c>
      <c r="O145" s="214">
        <v>281.10000000000002</v>
      </c>
      <c r="P145" s="214">
        <v>281.10000000000002</v>
      </c>
      <c r="Q145" s="214">
        <v>0</v>
      </c>
      <c r="R145" s="214">
        <v>0</v>
      </c>
      <c r="S145" s="214">
        <v>0</v>
      </c>
      <c r="T145" s="214">
        <v>0</v>
      </c>
      <c r="U145" s="214">
        <v>275.60000000000002</v>
      </c>
      <c r="V145" s="214">
        <v>275.60000000000002</v>
      </c>
      <c r="W145" s="214">
        <v>292.10000000000002</v>
      </c>
      <c r="X145" s="214">
        <v>159.80000000000001</v>
      </c>
      <c r="Y145" s="214">
        <v>159.80000000000001</v>
      </c>
      <c r="Z145" s="214">
        <v>270.10000000000002</v>
      </c>
      <c r="AA145" s="214">
        <v>332.9</v>
      </c>
      <c r="AB145" s="214">
        <v>402.3</v>
      </c>
      <c r="AC145" s="214">
        <v>325.2</v>
      </c>
      <c r="AD145" s="214">
        <v>264.60000000000002</v>
      </c>
      <c r="AE145" s="214">
        <v>264.60000000000002</v>
      </c>
      <c r="AF145" s="214">
        <v>264.60000000000002</v>
      </c>
      <c r="AG145" s="214">
        <v>264.60000000000002</v>
      </c>
      <c r="AH145" s="214">
        <v>264.60000000000002</v>
      </c>
      <c r="AI145" s="214">
        <v>264.60000000000002</v>
      </c>
      <c r="AJ145" s="214">
        <v>0</v>
      </c>
      <c r="AK145" s="214">
        <v>0</v>
      </c>
      <c r="AL145" s="214">
        <v>0</v>
      </c>
    </row>
    <row r="146" spans="1:38" x14ac:dyDescent="0.25">
      <c r="A146" s="214" t="s">
        <v>425</v>
      </c>
      <c r="B146" s="214">
        <v>0</v>
      </c>
      <c r="C146" s="214">
        <v>0</v>
      </c>
      <c r="D146" s="214">
        <v>0</v>
      </c>
      <c r="E146" s="214">
        <v>374.8</v>
      </c>
      <c r="F146" s="214">
        <v>403.4</v>
      </c>
      <c r="G146" s="214">
        <v>396.8</v>
      </c>
      <c r="H146" s="214">
        <v>402.3</v>
      </c>
      <c r="I146" s="214">
        <v>424.4</v>
      </c>
      <c r="J146" s="214">
        <v>374.8</v>
      </c>
      <c r="K146" s="214">
        <v>374.8</v>
      </c>
      <c r="L146" s="214">
        <v>347.2</v>
      </c>
      <c r="M146" s="214">
        <v>319.7</v>
      </c>
      <c r="N146" s="214">
        <v>272.3</v>
      </c>
      <c r="O146" s="214">
        <v>226</v>
      </c>
      <c r="P146" s="214">
        <v>194</v>
      </c>
      <c r="Q146" s="214">
        <v>194</v>
      </c>
      <c r="R146" s="214">
        <v>0</v>
      </c>
      <c r="S146" s="214">
        <v>0</v>
      </c>
      <c r="T146" s="214">
        <v>135</v>
      </c>
      <c r="U146" s="214">
        <v>292.10000000000002</v>
      </c>
      <c r="V146" s="214">
        <v>292.10000000000002</v>
      </c>
      <c r="W146" s="214">
        <v>325</v>
      </c>
      <c r="X146" s="214">
        <v>77.2</v>
      </c>
      <c r="Y146" s="214">
        <v>243.6</v>
      </c>
      <c r="Z146" s="214">
        <v>226</v>
      </c>
      <c r="AA146" s="214">
        <v>367.1</v>
      </c>
      <c r="AB146" s="214">
        <v>413.4</v>
      </c>
      <c r="AC146" s="214">
        <v>413.4</v>
      </c>
      <c r="AD146" s="214">
        <v>358.3</v>
      </c>
      <c r="AE146" s="214">
        <v>348.3</v>
      </c>
      <c r="AF146" s="214">
        <v>292.10000000000002</v>
      </c>
      <c r="AG146" s="214">
        <v>292.10000000000002</v>
      </c>
      <c r="AH146" s="214">
        <v>254.6</v>
      </c>
      <c r="AI146" s="214">
        <v>254.6</v>
      </c>
      <c r="AJ146" s="214">
        <v>176.4</v>
      </c>
      <c r="AK146" s="214">
        <v>143.30000000000001</v>
      </c>
      <c r="AL146" s="214">
        <v>0</v>
      </c>
    </row>
    <row r="147" spans="1:38" x14ac:dyDescent="0.25">
      <c r="A147" s="214" t="s">
        <v>426</v>
      </c>
      <c r="B147" s="214">
        <v>0</v>
      </c>
      <c r="C147" s="214">
        <v>0</v>
      </c>
      <c r="D147" s="214">
        <v>0</v>
      </c>
      <c r="E147" s="214">
        <v>385.8</v>
      </c>
      <c r="F147" s="214">
        <v>405</v>
      </c>
      <c r="G147" s="214">
        <v>424.4</v>
      </c>
      <c r="H147" s="214">
        <v>424.4</v>
      </c>
      <c r="I147" s="214">
        <v>435.4</v>
      </c>
      <c r="J147" s="214">
        <v>402.3</v>
      </c>
      <c r="K147" s="214">
        <v>391.3</v>
      </c>
      <c r="L147" s="214">
        <v>391.3</v>
      </c>
      <c r="M147" s="214">
        <v>325.2</v>
      </c>
      <c r="N147" s="214">
        <v>292.10000000000002</v>
      </c>
      <c r="O147" s="214">
        <v>209.4</v>
      </c>
      <c r="P147" s="214">
        <v>203.9</v>
      </c>
      <c r="Q147" s="214">
        <v>198.4</v>
      </c>
      <c r="R147" s="214">
        <v>0</v>
      </c>
      <c r="S147" s="214">
        <v>0</v>
      </c>
      <c r="T147" s="214">
        <v>0</v>
      </c>
      <c r="U147" s="214">
        <v>303.10000000000002</v>
      </c>
      <c r="V147" s="214">
        <v>369.3</v>
      </c>
      <c r="W147" s="214">
        <v>374.8</v>
      </c>
      <c r="X147" s="214">
        <v>0</v>
      </c>
      <c r="Y147" s="214">
        <v>203.9</v>
      </c>
      <c r="Z147" s="214">
        <v>249.1</v>
      </c>
      <c r="AA147" s="214">
        <v>407.9</v>
      </c>
      <c r="AB147" s="214">
        <v>425.5</v>
      </c>
      <c r="AC147" s="214">
        <v>358.3</v>
      </c>
      <c r="AD147" s="214">
        <v>358.3</v>
      </c>
      <c r="AE147" s="214">
        <v>332.9</v>
      </c>
      <c r="AF147" s="214">
        <v>275.60000000000002</v>
      </c>
      <c r="AG147" s="214">
        <v>264.60000000000002</v>
      </c>
      <c r="AH147" s="214">
        <v>253.5</v>
      </c>
      <c r="AI147" s="214">
        <v>215</v>
      </c>
      <c r="AJ147" s="214">
        <v>170.9</v>
      </c>
      <c r="AK147" s="214">
        <v>0</v>
      </c>
      <c r="AL147" s="214">
        <v>0</v>
      </c>
    </row>
    <row r="148" spans="1:38" x14ac:dyDescent="0.25">
      <c r="A148" s="214" t="s">
        <v>427</v>
      </c>
      <c r="B148" s="214">
        <v>0</v>
      </c>
      <c r="C148" s="214">
        <v>115.7</v>
      </c>
      <c r="D148" s="214">
        <v>0</v>
      </c>
      <c r="E148" s="214">
        <v>400</v>
      </c>
      <c r="F148" s="214">
        <v>451.9</v>
      </c>
      <c r="G148" s="214">
        <v>474</v>
      </c>
      <c r="H148" s="214">
        <v>474</v>
      </c>
      <c r="I148" s="214">
        <v>501.6</v>
      </c>
      <c r="J148" s="214">
        <v>435.4</v>
      </c>
      <c r="K148" s="214">
        <v>418.9</v>
      </c>
      <c r="L148" s="214">
        <v>403.4</v>
      </c>
      <c r="M148" s="214">
        <v>396.8</v>
      </c>
      <c r="N148" s="214">
        <v>303.10000000000002</v>
      </c>
      <c r="O148" s="214">
        <v>286.60000000000002</v>
      </c>
      <c r="P148" s="214">
        <v>286.60000000000002</v>
      </c>
      <c r="Q148" s="214">
        <v>176.4</v>
      </c>
      <c r="R148" s="214">
        <v>0</v>
      </c>
      <c r="S148" s="214">
        <v>0</v>
      </c>
      <c r="T148" s="214">
        <v>0</v>
      </c>
      <c r="U148" s="214">
        <v>362.7</v>
      </c>
      <c r="V148" s="214">
        <v>366</v>
      </c>
      <c r="W148" s="214">
        <v>429.9</v>
      </c>
      <c r="X148" s="214">
        <v>0</v>
      </c>
      <c r="Y148" s="214">
        <v>210.5</v>
      </c>
      <c r="Z148" s="214">
        <v>308.60000000000002</v>
      </c>
      <c r="AA148" s="214">
        <v>435.4</v>
      </c>
      <c r="AB148" s="214">
        <v>487.2</v>
      </c>
      <c r="AC148" s="214">
        <v>446.4</v>
      </c>
      <c r="AD148" s="214">
        <v>446.4</v>
      </c>
      <c r="AE148" s="214">
        <v>386.9</v>
      </c>
      <c r="AF148" s="214">
        <v>352.7</v>
      </c>
      <c r="AG148" s="214">
        <v>298.7</v>
      </c>
      <c r="AH148" s="214">
        <v>275.60000000000002</v>
      </c>
      <c r="AI148" s="214">
        <v>275.60000000000002</v>
      </c>
      <c r="AJ148" s="214">
        <v>132.30000000000001</v>
      </c>
      <c r="AK148" s="214">
        <v>0</v>
      </c>
      <c r="AL148" s="214">
        <v>0</v>
      </c>
    </row>
    <row r="149" spans="1:38" x14ac:dyDescent="0.25">
      <c r="A149" s="214" t="s">
        <v>428</v>
      </c>
      <c r="B149" s="214">
        <v>0</v>
      </c>
      <c r="C149" s="214">
        <v>0</v>
      </c>
      <c r="D149" s="214">
        <v>0</v>
      </c>
      <c r="E149" s="214">
        <v>374.8</v>
      </c>
      <c r="F149" s="214">
        <v>485</v>
      </c>
      <c r="G149" s="214">
        <v>485</v>
      </c>
      <c r="H149" s="214">
        <v>485</v>
      </c>
      <c r="I149" s="214">
        <v>567.70000000000005</v>
      </c>
      <c r="J149" s="214">
        <v>549</v>
      </c>
      <c r="K149" s="214">
        <v>549</v>
      </c>
      <c r="L149" s="214">
        <v>396.8</v>
      </c>
      <c r="M149" s="214">
        <v>396.8</v>
      </c>
      <c r="N149" s="214">
        <v>347.2</v>
      </c>
      <c r="O149" s="214">
        <v>347.2</v>
      </c>
      <c r="P149" s="214">
        <v>330.7</v>
      </c>
      <c r="Q149" s="214">
        <v>135</v>
      </c>
      <c r="R149" s="214">
        <v>0</v>
      </c>
      <c r="S149" s="214">
        <v>0</v>
      </c>
      <c r="T149" s="214">
        <v>0</v>
      </c>
      <c r="U149" s="214">
        <v>325.2</v>
      </c>
      <c r="V149" s="214">
        <v>442</v>
      </c>
      <c r="W149" s="214">
        <v>451.9</v>
      </c>
      <c r="X149" s="214">
        <v>0</v>
      </c>
      <c r="Y149" s="214">
        <v>237</v>
      </c>
      <c r="Z149" s="214">
        <v>292.10000000000002</v>
      </c>
      <c r="AA149" s="214">
        <v>451.9</v>
      </c>
      <c r="AB149" s="214">
        <v>542.29999999999995</v>
      </c>
      <c r="AC149" s="214">
        <v>451.9</v>
      </c>
      <c r="AD149" s="214">
        <v>429.9</v>
      </c>
      <c r="AE149" s="214">
        <v>429.9</v>
      </c>
      <c r="AF149" s="214">
        <v>429.9</v>
      </c>
      <c r="AG149" s="214">
        <v>331.8</v>
      </c>
      <c r="AH149" s="214">
        <v>286.60000000000002</v>
      </c>
      <c r="AI149" s="214">
        <v>275.60000000000002</v>
      </c>
      <c r="AJ149" s="214">
        <v>203.9</v>
      </c>
      <c r="AK149" s="214">
        <v>93.7</v>
      </c>
      <c r="AL149" s="214">
        <v>93.7</v>
      </c>
    </row>
    <row r="150" spans="1:38" x14ac:dyDescent="0.25">
      <c r="A150" s="214" t="s">
        <v>429</v>
      </c>
      <c r="B150" s="214">
        <v>0</v>
      </c>
      <c r="C150" s="214">
        <v>121.3</v>
      </c>
      <c r="D150" s="214">
        <v>192.9</v>
      </c>
      <c r="E150" s="214">
        <v>440.9</v>
      </c>
      <c r="F150" s="214">
        <v>450</v>
      </c>
      <c r="G150" s="214">
        <v>496</v>
      </c>
      <c r="H150" s="214">
        <v>518.1</v>
      </c>
      <c r="I150" s="214">
        <v>556.70000000000005</v>
      </c>
      <c r="J150" s="214">
        <v>502.7</v>
      </c>
      <c r="K150" s="214">
        <v>502.7</v>
      </c>
      <c r="L150" s="214">
        <v>463</v>
      </c>
      <c r="M150" s="214">
        <v>336.2</v>
      </c>
      <c r="N150" s="214">
        <v>253.5</v>
      </c>
      <c r="O150" s="214">
        <v>253.5</v>
      </c>
      <c r="P150" s="214">
        <v>297.60000000000002</v>
      </c>
      <c r="Q150" s="214">
        <v>270.10000000000002</v>
      </c>
      <c r="R150" s="214">
        <v>0</v>
      </c>
      <c r="S150" s="214">
        <v>0</v>
      </c>
      <c r="T150" s="214">
        <v>0</v>
      </c>
      <c r="U150" s="214">
        <v>400</v>
      </c>
      <c r="V150" s="214">
        <v>451.9</v>
      </c>
      <c r="W150" s="214">
        <v>501.6</v>
      </c>
      <c r="X150" s="214">
        <v>0</v>
      </c>
      <c r="Y150" s="214">
        <v>205</v>
      </c>
      <c r="Z150" s="214">
        <v>303.10000000000002</v>
      </c>
      <c r="AA150" s="214">
        <v>501.6</v>
      </c>
      <c r="AB150" s="214">
        <v>518.1</v>
      </c>
      <c r="AC150" s="214">
        <v>501.6</v>
      </c>
      <c r="AD150" s="214">
        <v>501.6</v>
      </c>
      <c r="AE150" s="214">
        <v>374.8</v>
      </c>
      <c r="AF150" s="214">
        <v>336.2</v>
      </c>
      <c r="AG150" s="214">
        <v>336.2</v>
      </c>
      <c r="AH150" s="214">
        <v>292.10000000000002</v>
      </c>
      <c r="AI150" s="214">
        <v>253.5</v>
      </c>
      <c r="AJ150" s="214">
        <v>275.60000000000002</v>
      </c>
      <c r="AK150" s="214">
        <v>132.30000000000001</v>
      </c>
      <c r="AL150" s="214">
        <v>0</v>
      </c>
    </row>
    <row r="151" spans="1:38" x14ac:dyDescent="0.25">
      <c r="A151" s="214" t="s">
        <v>430</v>
      </c>
      <c r="B151" s="214">
        <v>0</v>
      </c>
      <c r="C151" s="214">
        <v>0</v>
      </c>
      <c r="D151" s="214">
        <v>0</v>
      </c>
      <c r="E151" s="214">
        <v>468.5</v>
      </c>
      <c r="F151" s="214">
        <v>507.1</v>
      </c>
      <c r="G151" s="214">
        <v>507.1</v>
      </c>
      <c r="H151" s="214">
        <v>507.1</v>
      </c>
      <c r="I151" s="214">
        <v>574.29999999999995</v>
      </c>
      <c r="J151" s="214">
        <v>501.6</v>
      </c>
      <c r="K151" s="214">
        <v>501.6</v>
      </c>
      <c r="L151" s="214">
        <v>501.6</v>
      </c>
      <c r="M151" s="214">
        <v>485</v>
      </c>
      <c r="N151" s="214">
        <v>474</v>
      </c>
      <c r="O151" s="214">
        <v>336.2</v>
      </c>
      <c r="P151" s="214">
        <v>275.60000000000002</v>
      </c>
      <c r="Q151" s="214">
        <v>0</v>
      </c>
      <c r="R151" s="214">
        <v>0</v>
      </c>
      <c r="S151" s="214">
        <v>0</v>
      </c>
      <c r="T151" s="214">
        <v>0</v>
      </c>
      <c r="U151" s="214">
        <v>402.3</v>
      </c>
      <c r="V151" s="214">
        <v>524.70000000000005</v>
      </c>
      <c r="W151" s="214">
        <v>524.70000000000005</v>
      </c>
      <c r="X151" s="214">
        <v>0</v>
      </c>
      <c r="Y151" s="214">
        <v>226</v>
      </c>
      <c r="Z151" s="214">
        <v>292.10000000000002</v>
      </c>
      <c r="AA151" s="214">
        <v>524.70000000000005</v>
      </c>
      <c r="AB151" s="214">
        <v>544.5</v>
      </c>
      <c r="AC151" s="214">
        <v>468.5</v>
      </c>
      <c r="AD151" s="214">
        <v>440.9</v>
      </c>
      <c r="AE151" s="214">
        <v>440.9</v>
      </c>
      <c r="AF151" s="214">
        <v>352.7</v>
      </c>
      <c r="AG151" s="214">
        <v>352.7</v>
      </c>
      <c r="AH151" s="214">
        <v>270.10000000000002</v>
      </c>
      <c r="AI151" s="214">
        <v>264.60000000000002</v>
      </c>
      <c r="AJ151" s="214">
        <v>264.60000000000002</v>
      </c>
      <c r="AK151" s="214">
        <v>253.5</v>
      </c>
      <c r="AL151" s="214">
        <v>0</v>
      </c>
    </row>
  </sheetData>
  <sheetProtection formatCells="0" formatColumns="0" formatRows="0" insertColumns="0" insertRows="0" insertHyperlinks="0" deleteColumns="0" deleteRows="0" sort="0" autoFilter="0" pivotTables="0"/>
  <phoneticPr fontId="7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B1:G35"/>
  <sheetViews>
    <sheetView workbookViewId="0">
      <selection activeCell="J9" sqref="J9"/>
    </sheetView>
  </sheetViews>
  <sheetFormatPr defaultRowHeight="12.75" x14ac:dyDescent="0.2"/>
  <sheetData>
    <row r="1" spans="2:7" ht="18" x14ac:dyDescent="0.2">
      <c r="G1" s="207" t="s">
        <v>824</v>
      </c>
    </row>
    <row r="2" spans="2:7" ht="15" x14ac:dyDescent="0.2">
      <c r="G2" s="208" t="s">
        <v>800</v>
      </c>
    </row>
    <row r="4" spans="2:7" x14ac:dyDescent="0.2">
      <c r="B4" s="209" t="s">
        <v>825</v>
      </c>
    </row>
    <row r="5" spans="2:7" x14ac:dyDescent="0.2">
      <c r="B5" s="210" t="s">
        <v>826</v>
      </c>
    </row>
    <row r="6" spans="2:7" x14ac:dyDescent="0.2">
      <c r="B6" s="210" t="s">
        <v>827</v>
      </c>
    </row>
    <row r="7" spans="2:7" x14ac:dyDescent="0.2">
      <c r="B7" s="211" t="s">
        <v>828</v>
      </c>
    </row>
    <row r="8" spans="2:7" x14ac:dyDescent="0.2">
      <c r="B8" s="211" t="s">
        <v>916</v>
      </c>
    </row>
    <row r="9" spans="2:7" x14ac:dyDescent="0.2">
      <c r="B9" s="211" t="s">
        <v>829</v>
      </c>
    </row>
    <row r="10" spans="2:7" x14ac:dyDescent="0.2">
      <c r="B10" s="211" t="s">
        <v>830</v>
      </c>
    </row>
    <row r="11" spans="2:7" x14ac:dyDescent="0.2">
      <c r="B11" s="211" t="s">
        <v>831</v>
      </c>
    </row>
    <row r="12" spans="2:7" x14ac:dyDescent="0.2">
      <c r="B12" s="211" t="s">
        <v>832</v>
      </c>
    </row>
    <row r="13" spans="2:7" x14ac:dyDescent="0.2">
      <c r="B13" s="209" t="s">
        <v>833</v>
      </c>
    </row>
    <row r="14" spans="2:7" x14ac:dyDescent="0.2">
      <c r="B14" s="209" t="s">
        <v>846</v>
      </c>
    </row>
    <row r="15" spans="2:7" x14ac:dyDescent="0.2">
      <c r="B15" s="211" t="s">
        <v>834</v>
      </c>
    </row>
    <row r="16" spans="2:7" x14ac:dyDescent="0.2">
      <c r="B16" s="211" t="s">
        <v>835</v>
      </c>
    </row>
    <row r="17" spans="2:2" x14ac:dyDescent="0.2">
      <c r="B17" s="206" t="s">
        <v>836</v>
      </c>
    </row>
    <row r="18" spans="2:2" x14ac:dyDescent="0.2">
      <c r="B18" s="206" t="s">
        <v>917</v>
      </c>
    </row>
    <row r="19" spans="2:2" x14ac:dyDescent="0.2">
      <c r="B19" s="211" t="s">
        <v>837</v>
      </c>
    </row>
    <row r="20" spans="2:2" x14ac:dyDescent="0.2">
      <c r="B20" s="211" t="s">
        <v>918</v>
      </c>
    </row>
    <row r="21" spans="2:2" x14ac:dyDescent="0.2">
      <c r="B21" s="209" t="s">
        <v>847</v>
      </c>
    </row>
    <row r="22" spans="2:2" ht="15" x14ac:dyDescent="0.2">
      <c r="B22" s="211" t="s">
        <v>838</v>
      </c>
    </row>
    <row r="23" spans="2:2" x14ac:dyDescent="0.2">
      <c r="B23" s="211" t="s">
        <v>839</v>
      </c>
    </row>
    <row r="24" spans="2:2" x14ac:dyDescent="0.2">
      <c r="B24" s="211" t="s">
        <v>921</v>
      </c>
    </row>
    <row r="25" spans="2:2" x14ac:dyDescent="0.2">
      <c r="B25" s="206" t="s">
        <v>922</v>
      </c>
    </row>
    <row r="26" spans="2:2" x14ac:dyDescent="0.2">
      <c r="B26" s="206" t="s">
        <v>840</v>
      </c>
    </row>
    <row r="27" spans="2:2" ht="15" x14ac:dyDescent="0.2">
      <c r="B27" s="206" t="s">
        <v>919</v>
      </c>
    </row>
    <row r="28" spans="2:2" x14ac:dyDescent="0.2">
      <c r="B28" s="211" t="s">
        <v>923</v>
      </c>
    </row>
    <row r="29" spans="2:2" x14ac:dyDescent="0.2">
      <c r="B29" s="211" t="s">
        <v>841</v>
      </c>
    </row>
    <row r="30" spans="2:2" x14ac:dyDescent="0.2">
      <c r="B30" s="211" t="s">
        <v>842</v>
      </c>
    </row>
    <row r="31" spans="2:2" x14ac:dyDescent="0.2">
      <c r="B31" s="211" t="s">
        <v>843</v>
      </c>
    </row>
    <row r="32" spans="2:2" x14ac:dyDescent="0.2">
      <c r="B32" s="206" t="s">
        <v>844</v>
      </c>
    </row>
    <row r="33" spans="2:2" x14ac:dyDescent="0.2">
      <c r="B33" s="211" t="s">
        <v>845</v>
      </c>
    </row>
    <row r="34" spans="2:2" x14ac:dyDescent="0.2">
      <c r="B34" s="211" t="s">
        <v>920</v>
      </c>
    </row>
    <row r="35" spans="2:2" x14ac:dyDescent="0.2">
      <c r="B35" s="209" t="s">
        <v>848</v>
      </c>
    </row>
  </sheetData>
  <phoneticPr fontId="72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F10"/>
  <sheetViews>
    <sheetView workbookViewId="0">
      <selection activeCell="D3" sqref="D3"/>
    </sheetView>
  </sheetViews>
  <sheetFormatPr defaultRowHeight="12.75" x14ac:dyDescent="0.2"/>
  <cols>
    <col min="1" max="1" width="13.7109375" bestFit="1" customWidth="1"/>
    <col min="2" max="2" width="16.7109375" bestFit="1" customWidth="1"/>
    <col min="3" max="3" width="23.42578125" bestFit="1" customWidth="1"/>
    <col min="4" max="5" width="14.5703125" bestFit="1" customWidth="1"/>
    <col min="6" max="6" width="10.28515625" bestFit="1" customWidth="1"/>
  </cols>
  <sheetData>
    <row r="1" spans="1:6" x14ac:dyDescent="0.2">
      <c r="A1" s="460" t="s">
        <v>1195</v>
      </c>
      <c r="B1" s="461"/>
      <c r="C1" s="461"/>
      <c r="D1" s="461"/>
      <c r="E1" s="461"/>
      <c r="F1" s="462"/>
    </row>
    <row r="2" spans="1:6" x14ac:dyDescent="0.2">
      <c r="A2" s="330" t="s">
        <v>912</v>
      </c>
      <c r="B2" s="331" t="s">
        <v>1194</v>
      </c>
      <c r="C2" s="331" t="s">
        <v>18</v>
      </c>
      <c r="D2" s="331" t="s">
        <v>68</v>
      </c>
      <c r="E2" s="331" t="s">
        <v>70</v>
      </c>
      <c r="F2" s="331" t="s">
        <v>67</v>
      </c>
    </row>
    <row r="3" spans="1:6" ht="15" x14ac:dyDescent="0.2">
      <c r="A3" s="333" t="s">
        <v>1169</v>
      </c>
      <c r="B3" s="332" t="s">
        <v>1172</v>
      </c>
      <c r="C3" s="332" t="s">
        <v>1173</v>
      </c>
      <c r="D3" s="329">
        <v>1199.72839</v>
      </c>
      <c r="E3" s="329">
        <v>1025.1816200000001</v>
      </c>
      <c r="F3" s="329">
        <v>9.2099999999999994E-3</v>
      </c>
    </row>
    <row r="4" spans="1:6" ht="15" x14ac:dyDescent="0.2">
      <c r="A4" s="333" t="s">
        <v>1188</v>
      </c>
      <c r="B4" s="332" t="s">
        <v>1174</v>
      </c>
      <c r="C4" s="332" t="s">
        <v>1175</v>
      </c>
      <c r="D4" s="329">
        <v>320.98041000000001</v>
      </c>
      <c r="E4" s="329">
        <v>281.40258</v>
      </c>
      <c r="F4" s="329">
        <v>1.008E-2</v>
      </c>
    </row>
    <row r="5" spans="1:6" ht="15" x14ac:dyDescent="0.2">
      <c r="A5" s="333" t="s">
        <v>1189</v>
      </c>
      <c r="B5" s="332" t="s">
        <v>1176</v>
      </c>
      <c r="C5" s="332" t="s">
        <v>1177</v>
      </c>
      <c r="D5" s="329">
        <v>1236.2511500000001</v>
      </c>
      <c r="E5" s="329">
        <v>1449.2186400000001</v>
      </c>
      <c r="F5" s="329">
        <v>1.644E-2</v>
      </c>
    </row>
    <row r="6" spans="1:6" ht="15" x14ac:dyDescent="0.2">
      <c r="A6" s="333" t="s">
        <v>1190</v>
      </c>
      <c r="B6" s="332" t="s">
        <v>1178</v>
      </c>
      <c r="C6" s="332" t="s">
        <v>1179</v>
      </c>
      <c r="D6" s="329">
        <v>381.22073</v>
      </c>
      <c r="E6" s="329">
        <v>733.79377999999997</v>
      </c>
      <c r="F6" s="329">
        <v>2.3980000000000001E-2</v>
      </c>
    </row>
    <row r="7" spans="1:6" ht="15" x14ac:dyDescent="0.2">
      <c r="A7" s="333" t="s">
        <v>1168</v>
      </c>
      <c r="B7" s="332" t="s">
        <v>1180</v>
      </c>
      <c r="C7" s="332" t="s">
        <v>1181</v>
      </c>
      <c r="D7" s="329">
        <v>610.32795999999996</v>
      </c>
      <c r="E7" s="329">
        <v>1045.5928200000001</v>
      </c>
      <c r="F7" s="329">
        <v>3.048E-2</v>
      </c>
    </row>
    <row r="8" spans="1:6" ht="15" x14ac:dyDescent="0.2">
      <c r="A8" s="333" t="s">
        <v>1191</v>
      </c>
      <c r="B8" s="332" t="s">
        <v>1182</v>
      </c>
      <c r="C8" s="332" t="s">
        <v>1183</v>
      </c>
      <c r="D8" s="329">
        <v>142.40397999999999</v>
      </c>
      <c r="E8" s="329">
        <v>442.52670999999998</v>
      </c>
      <c r="F8" s="329">
        <v>4.7239999999999997E-2</v>
      </c>
    </row>
    <row r="9" spans="1:6" ht="15" x14ac:dyDescent="0.2">
      <c r="A9" s="333" t="s">
        <v>1192</v>
      </c>
      <c r="B9" s="332" t="s">
        <v>1184</v>
      </c>
      <c r="C9" s="332" t="s">
        <v>1185</v>
      </c>
      <c r="D9" s="329">
        <v>758.63878</v>
      </c>
      <c r="E9" s="329">
        <v>949.31381999999996</v>
      </c>
      <c r="F9" s="329">
        <v>2.435E-2</v>
      </c>
    </row>
    <row r="10" spans="1:6" ht="15" x14ac:dyDescent="0.2">
      <c r="A10" s="333" t="s">
        <v>1193</v>
      </c>
      <c r="B10" s="332" t="s">
        <v>1186</v>
      </c>
      <c r="C10" s="332" t="s">
        <v>1187</v>
      </c>
      <c r="D10" s="329">
        <v>221.82209</v>
      </c>
      <c r="E10" s="329">
        <v>357.00376999999997</v>
      </c>
      <c r="F10" s="329">
        <v>2.937E-2</v>
      </c>
    </row>
  </sheetData>
  <mergeCells count="1">
    <mergeCell ref="A1:F1"/>
  </mergeCells>
  <phoneticPr fontId="7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BL818"/>
  <sheetViews>
    <sheetView workbookViewId="0">
      <selection activeCell="A3" sqref="A3:E20"/>
    </sheetView>
  </sheetViews>
  <sheetFormatPr defaultColWidth="9.28515625" defaultRowHeight="15" customHeight="1" x14ac:dyDescent="0.2"/>
  <cols>
    <col min="1" max="1" width="6" style="64" customWidth="1"/>
    <col min="2" max="2" width="27.42578125" style="142" customWidth="1"/>
    <col min="3" max="3" width="9.7109375" style="64" customWidth="1"/>
    <col min="4" max="4" width="34.140625" style="229" customWidth="1"/>
    <col min="5" max="5" width="10.7109375" style="64" customWidth="1"/>
    <col min="6" max="6" width="9.5703125" style="64" customWidth="1"/>
    <col min="7" max="7" width="5.5703125" style="64" customWidth="1"/>
    <col min="8" max="8" width="9.140625" style="215" customWidth="1"/>
    <col min="9" max="9" width="7.28515625" style="100" customWidth="1"/>
    <col min="10" max="10" width="9.28515625" style="64" customWidth="1"/>
    <col min="11" max="11" width="7.28515625" style="100" customWidth="1"/>
    <col min="12" max="13" width="9.28515625" style="64" customWidth="1"/>
    <col min="14" max="14" width="10.7109375" style="64" customWidth="1"/>
    <col min="15" max="15" width="8.5703125" style="64" hidden="1" customWidth="1"/>
    <col min="16" max="16" width="9.28515625" style="64" customWidth="1"/>
    <col min="17" max="17" width="11.7109375" style="64" hidden="1" customWidth="1"/>
    <col min="18" max="18" width="9.28515625" style="64" hidden="1" customWidth="1"/>
    <col min="19" max="21" width="9.28515625" style="98" hidden="1" customWidth="1"/>
    <col min="22" max="22" width="9.28515625" style="99" hidden="1" customWidth="1"/>
    <col min="23" max="27" width="9.28515625" style="98" hidden="1" customWidth="1"/>
    <col min="28" max="30" width="9.28515625" hidden="1" customWidth="1"/>
    <col min="31" max="32" width="9.28515625" style="98" hidden="1" customWidth="1"/>
    <col min="33" max="155" width="0" style="98" hidden="1" customWidth="1"/>
    <col min="156" max="16384" width="9.28515625" style="98"/>
  </cols>
  <sheetData>
    <row r="1" spans="1:64" customFormat="1" ht="42.75" customHeight="1" x14ac:dyDescent="0.2">
      <c r="A1" s="1"/>
      <c r="B1" s="36"/>
      <c r="C1" s="1"/>
      <c r="D1" s="227"/>
      <c r="E1" s="1"/>
      <c r="F1" s="1"/>
      <c r="G1" s="1"/>
      <c r="H1" s="217"/>
      <c r="I1" s="104"/>
      <c r="J1" s="1"/>
      <c r="K1" s="104"/>
      <c r="L1" s="1"/>
      <c r="M1" s="1"/>
      <c r="N1" s="1"/>
      <c r="O1" s="1"/>
      <c r="P1" s="1"/>
      <c r="Q1" s="1"/>
      <c r="R1" s="1"/>
      <c r="S1" s="98"/>
      <c r="T1" s="98"/>
      <c r="U1" s="98"/>
      <c r="V1" s="99"/>
      <c r="W1" s="98"/>
      <c r="X1" s="98"/>
      <c r="Y1" s="98"/>
      <c r="Z1" s="98">
        <v>1</v>
      </c>
      <c r="AA1" s="98"/>
    </row>
    <row r="2" spans="1:64" s="105" customFormat="1" ht="27" customHeight="1" x14ac:dyDescent="0.2">
      <c r="A2" s="119" t="str">
        <f>Setup!Q3</f>
        <v>Grp</v>
      </c>
      <c r="B2" s="141" t="s">
        <v>54</v>
      </c>
      <c r="C2" s="121" t="s">
        <v>801</v>
      </c>
      <c r="D2" s="228" t="s">
        <v>55</v>
      </c>
      <c r="E2" s="121" t="s">
        <v>17</v>
      </c>
      <c r="F2" s="122" t="s">
        <v>322</v>
      </c>
      <c r="G2" s="120" t="s">
        <v>57</v>
      </c>
      <c r="H2" s="218" t="s">
        <v>849</v>
      </c>
      <c r="I2" s="123" t="s">
        <v>58</v>
      </c>
      <c r="J2" s="121" t="str">
        <f>CONCATENATE("SQ-1 (",T2,")")</f>
        <v>SQ-1 (Kg)</v>
      </c>
      <c r="K2" s="123" t="s">
        <v>59</v>
      </c>
      <c r="L2" s="121" t="str">
        <f>CONCATENATE("BP-1 (",T2,")")</f>
        <v>BP-1 (Kg)</v>
      </c>
      <c r="M2" s="121" t="str">
        <f>CONCATENATE("DL-1 (",T2,")")</f>
        <v>DL-1 (Kg)</v>
      </c>
      <c r="N2" s="121" t="s">
        <v>60</v>
      </c>
      <c r="O2" s="121" t="s">
        <v>468</v>
      </c>
      <c r="P2" s="121" t="s">
        <v>305</v>
      </c>
      <c r="Q2" s="121" t="s">
        <v>660</v>
      </c>
      <c r="R2" s="121"/>
      <c r="T2" s="124" t="str">
        <f>Setup!G15</f>
        <v>Kg</v>
      </c>
      <c r="U2" s="124">
        <f>COUNTA(F:F)+1</f>
        <v>20</v>
      </c>
      <c r="V2" s="125" t="str">
        <f>CONCATENATE("Setup!I6:I",COUNTA(Setup!I:I)+3)</f>
        <v>Setup!I6:I37</v>
      </c>
      <c r="W2" s="125" t="str">
        <f>CONCATENATE("Setup!M6:M",COUNTA(Setup!M:M)+3)</f>
        <v>Setup!M6:M5</v>
      </c>
      <c r="X2" s="125" t="str">
        <f>CONCATENATE("Setup!Q5:Q",COUNTA(Setup!Q:Q)+4)</f>
        <v>Setup!Q5:Q9</v>
      </c>
      <c r="Y2" s="125" t="str">
        <f>CONCATENATE("DATA!$M$2:$M$61")</f>
        <v>DATA!$M$2:$M$61</v>
      </c>
      <c r="Z2" s="125">
        <v>1</v>
      </c>
      <c r="AA2" s="140">
        <f>COUNTA(F:F)+1</f>
        <v>20</v>
      </c>
      <c r="AE2" s="34"/>
      <c r="AF2" s="34"/>
      <c r="AG2" s="34"/>
      <c r="AH2" s="34"/>
      <c r="AI2" s="34"/>
      <c r="AJ2" s="34"/>
      <c r="AK2" s="34"/>
      <c r="AL2" s="34"/>
      <c r="AM2" s="34"/>
      <c r="AN2" s="35" t="s">
        <v>61</v>
      </c>
      <c r="AO2" s="35" t="s">
        <v>62</v>
      </c>
      <c r="AP2" s="34"/>
      <c r="AQ2" s="34"/>
      <c r="AR2" s="34"/>
      <c r="AS2" s="34"/>
      <c r="AT2" s="34"/>
      <c r="AU2" s="34"/>
      <c r="AV2" s="34"/>
      <c r="AW2" s="34"/>
      <c r="AX2" s="34"/>
      <c r="AY2" s="35" t="s">
        <v>28</v>
      </c>
      <c r="AZ2" s="35" t="s">
        <v>32</v>
      </c>
      <c r="BA2" s="35" t="s">
        <v>36</v>
      </c>
      <c r="BB2" s="35" t="s">
        <v>63</v>
      </c>
      <c r="BC2" s="35" t="s">
        <v>59</v>
      </c>
      <c r="BD2" s="35" t="s">
        <v>39</v>
      </c>
      <c r="BE2" s="35" t="s">
        <v>41</v>
      </c>
      <c r="BF2" s="35" t="s">
        <v>42</v>
      </c>
      <c r="BG2" s="35" t="s">
        <v>64</v>
      </c>
      <c r="BH2" s="35" t="s">
        <v>65</v>
      </c>
      <c r="BI2" s="35" t="s">
        <v>43</v>
      </c>
      <c r="BJ2" s="35" t="s">
        <v>44</v>
      </c>
      <c r="BK2" s="35" t="s">
        <v>45</v>
      </c>
      <c r="BL2" s="35" t="s">
        <v>66</v>
      </c>
    </row>
    <row r="3" spans="1:64" ht="15" customHeight="1" x14ac:dyDescent="0.2">
      <c r="A3" s="68"/>
      <c r="B3" s="68"/>
      <c r="D3" s="230"/>
      <c r="F3" s="64">
        <v>42</v>
      </c>
      <c r="G3" s="64">
        <v>1</v>
      </c>
      <c r="H3" s="215">
        <v>100</v>
      </c>
      <c r="I3" s="100">
        <v>100</v>
      </c>
      <c r="J3" s="64">
        <v>100</v>
      </c>
      <c r="K3" s="100">
        <v>100</v>
      </c>
      <c r="L3" s="64">
        <v>100</v>
      </c>
      <c r="M3" s="64">
        <v>100</v>
      </c>
      <c r="N3" s="64" t="s">
        <v>69</v>
      </c>
    </row>
    <row r="4" spans="1:64" ht="15" customHeight="1" x14ac:dyDescent="0.2">
      <c r="A4" s="68"/>
      <c r="B4" s="68"/>
      <c r="D4" s="230"/>
      <c r="F4" s="64">
        <v>46</v>
      </c>
      <c r="G4" s="64">
        <v>2</v>
      </c>
      <c r="H4" s="215">
        <v>110</v>
      </c>
      <c r="I4" s="100">
        <v>110</v>
      </c>
      <c r="J4" s="64">
        <v>110</v>
      </c>
      <c r="K4" s="100">
        <v>110</v>
      </c>
      <c r="L4" s="64">
        <v>110</v>
      </c>
      <c r="M4" s="64">
        <v>110</v>
      </c>
      <c r="N4" s="64" t="s">
        <v>69</v>
      </c>
    </row>
    <row r="5" spans="1:64" ht="15" customHeight="1" x14ac:dyDescent="0.2">
      <c r="A5" s="68"/>
      <c r="B5" s="68"/>
      <c r="D5" s="230"/>
      <c r="F5" s="64">
        <v>50</v>
      </c>
      <c r="G5" s="64">
        <v>3</v>
      </c>
      <c r="H5" s="215">
        <v>120</v>
      </c>
      <c r="I5" s="100">
        <v>120</v>
      </c>
      <c r="J5" s="64">
        <v>120</v>
      </c>
      <c r="K5" s="100">
        <v>120</v>
      </c>
      <c r="L5" s="64">
        <v>120</v>
      </c>
      <c r="M5" s="64">
        <v>120</v>
      </c>
      <c r="N5" s="64" t="s">
        <v>69</v>
      </c>
    </row>
    <row r="6" spans="1:64" ht="15" customHeight="1" x14ac:dyDescent="0.2">
      <c r="A6" s="68"/>
      <c r="B6" s="68"/>
      <c r="D6" s="230"/>
      <c r="F6" s="64">
        <v>55</v>
      </c>
      <c r="G6" s="64">
        <v>4</v>
      </c>
      <c r="H6" s="215">
        <v>130</v>
      </c>
      <c r="I6" s="100">
        <v>130</v>
      </c>
      <c r="J6" s="64">
        <v>130</v>
      </c>
      <c r="K6" s="100">
        <v>130</v>
      </c>
      <c r="L6" s="64">
        <v>130</v>
      </c>
      <c r="M6" s="64">
        <v>130</v>
      </c>
      <c r="N6" s="64" t="s">
        <v>69</v>
      </c>
    </row>
    <row r="7" spans="1:64" ht="15" customHeight="1" x14ac:dyDescent="0.2">
      <c r="A7" s="68"/>
      <c r="B7" s="68"/>
      <c r="D7" s="230"/>
      <c r="F7" s="64">
        <v>65</v>
      </c>
      <c r="G7" s="64">
        <v>5</v>
      </c>
      <c r="H7" s="215">
        <v>140</v>
      </c>
      <c r="I7" s="100">
        <v>140</v>
      </c>
      <c r="J7" s="64">
        <v>140</v>
      </c>
      <c r="K7" s="100">
        <v>140</v>
      </c>
      <c r="L7" s="64">
        <v>140</v>
      </c>
      <c r="M7" s="64">
        <v>140</v>
      </c>
      <c r="N7" s="64" t="s">
        <v>69</v>
      </c>
    </row>
    <row r="8" spans="1:64" ht="15" customHeight="1" x14ac:dyDescent="0.2">
      <c r="A8" s="68"/>
      <c r="B8" s="68"/>
      <c r="D8" s="230"/>
      <c r="F8" s="64">
        <v>60</v>
      </c>
      <c r="G8" s="64">
        <v>6</v>
      </c>
      <c r="H8" s="215">
        <v>150</v>
      </c>
      <c r="I8" s="100">
        <v>150</v>
      </c>
      <c r="J8" s="64">
        <v>150</v>
      </c>
      <c r="K8" s="100">
        <v>150</v>
      </c>
      <c r="L8" s="64">
        <v>150</v>
      </c>
      <c r="M8" s="64">
        <v>150</v>
      </c>
      <c r="N8" s="64" t="s">
        <v>69</v>
      </c>
    </row>
    <row r="9" spans="1:64" ht="15" customHeight="1" x14ac:dyDescent="0.2">
      <c r="A9" s="68"/>
      <c r="B9" s="68"/>
      <c r="D9" s="230"/>
      <c r="F9" s="64">
        <v>54</v>
      </c>
      <c r="G9" s="64">
        <v>7</v>
      </c>
      <c r="H9" s="215">
        <v>160</v>
      </c>
      <c r="I9" s="100">
        <v>160</v>
      </c>
      <c r="J9" s="64">
        <v>160</v>
      </c>
      <c r="K9" s="100">
        <v>160</v>
      </c>
      <c r="L9" s="64">
        <v>160</v>
      </c>
      <c r="M9" s="64">
        <v>160</v>
      </c>
      <c r="N9" s="64" t="s">
        <v>69</v>
      </c>
    </row>
    <row r="10" spans="1:64" ht="15" customHeight="1" x14ac:dyDescent="0.2">
      <c r="A10" s="68"/>
      <c r="B10" s="68"/>
      <c r="D10" s="230"/>
      <c r="F10" s="64">
        <v>70</v>
      </c>
      <c r="G10" s="64">
        <v>8</v>
      </c>
      <c r="H10" s="215">
        <v>170</v>
      </c>
      <c r="I10" s="100">
        <v>170</v>
      </c>
      <c r="J10" s="64">
        <v>170</v>
      </c>
      <c r="K10" s="100">
        <v>170</v>
      </c>
      <c r="L10" s="64">
        <v>170</v>
      </c>
      <c r="M10" s="64">
        <v>170</v>
      </c>
      <c r="N10" s="64" t="s">
        <v>69</v>
      </c>
    </row>
    <row r="11" spans="1:64" ht="15" customHeight="1" x14ac:dyDescent="0.2">
      <c r="A11" s="68"/>
      <c r="B11" s="68"/>
      <c r="D11" s="230"/>
      <c r="F11" s="64">
        <v>80</v>
      </c>
      <c r="G11" s="64">
        <v>9</v>
      </c>
      <c r="H11" s="215">
        <v>180</v>
      </c>
      <c r="I11" s="100">
        <v>180</v>
      </c>
      <c r="J11" s="64">
        <v>180</v>
      </c>
      <c r="K11" s="100">
        <v>180</v>
      </c>
      <c r="L11" s="64">
        <v>180</v>
      </c>
      <c r="M11" s="64">
        <v>180</v>
      </c>
      <c r="N11" s="64" t="s">
        <v>69</v>
      </c>
    </row>
    <row r="12" spans="1:64" ht="15" customHeight="1" x14ac:dyDescent="0.2">
      <c r="A12" s="68"/>
      <c r="B12" s="68"/>
      <c r="D12" s="230"/>
      <c r="F12" s="64">
        <v>75</v>
      </c>
      <c r="G12" s="64">
        <v>10</v>
      </c>
      <c r="H12" s="215">
        <v>190</v>
      </c>
      <c r="I12" s="100">
        <v>190</v>
      </c>
      <c r="J12" s="64">
        <v>190</v>
      </c>
      <c r="K12" s="100">
        <v>190</v>
      </c>
      <c r="L12" s="64">
        <v>190</v>
      </c>
      <c r="M12" s="64">
        <v>190</v>
      </c>
      <c r="N12" s="64" t="s">
        <v>69</v>
      </c>
    </row>
    <row r="13" spans="1:64" ht="15" customHeight="1" x14ac:dyDescent="0.2">
      <c r="A13" s="68"/>
      <c r="B13" s="68"/>
      <c r="D13" s="230"/>
      <c r="F13" s="64">
        <v>75</v>
      </c>
      <c r="G13" s="64">
        <v>11</v>
      </c>
      <c r="H13" s="215">
        <v>200</v>
      </c>
      <c r="I13" s="100">
        <v>200</v>
      </c>
      <c r="J13" s="64">
        <v>200</v>
      </c>
      <c r="K13" s="100">
        <v>200</v>
      </c>
      <c r="L13" s="64">
        <v>200</v>
      </c>
      <c r="M13" s="64">
        <v>200</v>
      </c>
      <c r="N13" s="64" t="s">
        <v>69</v>
      </c>
    </row>
    <row r="14" spans="1:64" ht="15" customHeight="1" x14ac:dyDescent="0.2">
      <c r="A14" s="68"/>
      <c r="B14" s="68"/>
      <c r="D14" s="230"/>
      <c r="F14" s="64">
        <v>120</v>
      </c>
      <c r="G14" s="64">
        <v>12</v>
      </c>
      <c r="H14" s="215">
        <v>210</v>
      </c>
      <c r="I14" s="100">
        <v>210</v>
      </c>
      <c r="J14" s="64">
        <v>210</v>
      </c>
      <c r="K14" s="100">
        <v>210</v>
      </c>
      <c r="L14" s="64">
        <v>210</v>
      </c>
      <c r="M14" s="64">
        <v>210</v>
      </c>
      <c r="N14" s="64" t="s">
        <v>69</v>
      </c>
    </row>
    <row r="15" spans="1:64" ht="15" customHeight="1" x14ac:dyDescent="0.2">
      <c r="A15" s="68"/>
      <c r="B15" s="68"/>
      <c r="D15" s="230"/>
      <c r="F15" s="64">
        <v>130</v>
      </c>
      <c r="G15" s="64">
        <v>13</v>
      </c>
      <c r="H15" s="215">
        <v>220</v>
      </c>
      <c r="I15" s="100">
        <v>220</v>
      </c>
      <c r="J15" s="64">
        <v>220</v>
      </c>
      <c r="K15" s="100">
        <v>220</v>
      </c>
      <c r="L15" s="64">
        <v>220</v>
      </c>
      <c r="M15" s="64">
        <v>220</v>
      </c>
      <c r="N15" s="64" t="s">
        <v>69</v>
      </c>
    </row>
    <row r="16" spans="1:64" ht="15" customHeight="1" x14ac:dyDescent="0.2">
      <c r="A16" s="68"/>
      <c r="B16" s="68"/>
      <c r="D16" s="230"/>
      <c r="F16" s="64">
        <v>52</v>
      </c>
      <c r="G16" s="64">
        <v>14</v>
      </c>
      <c r="H16" s="215">
        <v>230</v>
      </c>
      <c r="I16" s="100">
        <v>230</v>
      </c>
      <c r="J16" s="64">
        <v>230</v>
      </c>
      <c r="K16" s="100">
        <v>230</v>
      </c>
      <c r="L16" s="64">
        <v>230</v>
      </c>
      <c r="M16" s="64">
        <v>230</v>
      </c>
      <c r="N16" s="64" t="s">
        <v>69</v>
      </c>
    </row>
    <row r="17" spans="1:14" s="98" customFormat="1" ht="15" customHeight="1" x14ac:dyDescent="0.2">
      <c r="A17" s="68"/>
      <c r="B17" s="68"/>
      <c r="C17" s="64"/>
      <c r="D17" s="230"/>
      <c r="E17" s="64"/>
      <c r="F17" s="64">
        <v>120</v>
      </c>
      <c r="G17" s="64">
        <v>15</v>
      </c>
      <c r="H17" s="215">
        <v>240</v>
      </c>
      <c r="I17" s="100">
        <v>240</v>
      </c>
      <c r="J17" s="64">
        <v>240</v>
      </c>
      <c r="K17" s="100">
        <v>240</v>
      </c>
      <c r="L17" s="64">
        <v>240</v>
      </c>
      <c r="M17" s="64">
        <v>240</v>
      </c>
      <c r="N17" s="64" t="s">
        <v>69</v>
      </c>
    </row>
    <row r="18" spans="1:14" s="98" customFormat="1" ht="15" customHeight="1" x14ac:dyDescent="0.2">
      <c r="A18" s="68"/>
      <c r="B18" s="68"/>
      <c r="C18" s="64"/>
      <c r="D18" s="230"/>
      <c r="E18" s="64"/>
      <c r="F18" s="64">
        <v>85</v>
      </c>
      <c r="G18" s="64">
        <v>16</v>
      </c>
      <c r="H18" s="215">
        <v>250</v>
      </c>
      <c r="I18" s="100">
        <v>250</v>
      </c>
      <c r="J18" s="64">
        <v>250</v>
      </c>
      <c r="K18" s="100">
        <v>250</v>
      </c>
      <c r="L18" s="64">
        <v>250</v>
      </c>
      <c r="M18" s="64">
        <v>250</v>
      </c>
      <c r="N18" s="64" t="s">
        <v>69</v>
      </c>
    </row>
    <row r="19" spans="1:14" s="98" customFormat="1" ht="15" customHeight="1" x14ac:dyDescent="0.2">
      <c r="A19" s="68"/>
      <c r="B19" s="68"/>
      <c r="C19" s="64"/>
      <c r="D19" s="230"/>
      <c r="E19" s="64"/>
      <c r="F19" s="64">
        <v>140</v>
      </c>
      <c r="G19" s="64">
        <v>17</v>
      </c>
      <c r="H19" s="215">
        <v>260</v>
      </c>
      <c r="I19" s="100">
        <v>260</v>
      </c>
      <c r="J19" s="64">
        <v>260</v>
      </c>
      <c r="K19" s="100">
        <v>260</v>
      </c>
      <c r="L19" s="64">
        <v>260</v>
      </c>
      <c r="M19" s="64">
        <v>260</v>
      </c>
      <c r="N19" s="64" t="s">
        <v>69</v>
      </c>
    </row>
    <row r="20" spans="1:14" s="98" customFormat="1" ht="15" customHeight="1" x14ac:dyDescent="0.2">
      <c r="A20" s="68"/>
      <c r="B20" s="68"/>
      <c r="C20" s="64"/>
      <c r="D20" s="230"/>
      <c r="E20" s="64"/>
      <c r="F20" s="64">
        <v>150</v>
      </c>
      <c r="G20" s="64">
        <v>18</v>
      </c>
      <c r="H20" s="215">
        <v>270</v>
      </c>
      <c r="I20" s="100">
        <v>270</v>
      </c>
      <c r="J20" s="64">
        <v>270</v>
      </c>
      <c r="K20" s="100">
        <v>270</v>
      </c>
      <c r="L20" s="64">
        <v>270</v>
      </c>
      <c r="M20" s="64">
        <v>270</v>
      </c>
      <c r="N20" s="64" t="s">
        <v>69</v>
      </c>
    </row>
    <row r="21" spans="1:14" s="98" customFormat="1" ht="15" customHeight="1" x14ac:dyDescent="0.2">
      <c r="A21" s="68"/>
      <c r="B21" s="68"/>
      <c r="C21" s="64"/>
      <c r="D21" s="230" t="s">
        <v>959</v>
      </c>
      <c r="E21" s="64" t="s">
        <v>958</v>
      </c>
      <c r="F21" s="64"/>
      <c r="G21" s="64"/>
      <c r="H21" s="215"/>
      <c r="I21" s="100"/>
      <c r="J21" s="64"/>
      <c r="K21" s="100"/>
      <c r="L21" s="64"/>
      <c r="M21" s="64"/>
      <c r="N21" s="64"/>
    </row>
    <row r="22" spans="1:14" s="98" customFormat="1" ht="15" customHeight="1" x14ac:dyDescent="0.2">
      <c r="A22" s="68"/>
      <c r="B22" s="68"/>
      <c r="C22" s="64"/>
      <c r="D22" s="230" t="s">
        <v>959</v>
      </c>
      <c r="E22" s="64" t="s">
        <v>958</v>
      </c>
      <c r="F22" s="64"/>
      <c r="G22" s="64"/>
      <c r="H22" s="215"/>
      <c r="I22" s="100"/>
      <c r="J22" s="64"/>
      <c r="K22" s="100"/>
      <c r="L22" s="64"/>
      <c r="M22" s="64"/>
      <c r="N22" s="64"/>
    </row>
    <row r="23" spans="1:14" s="98" customFormat="1" ht="15" customHeight="1" x14ac:dyDescent="0.2">
      <c r="A23" s="68"/>
      <c r="B23" s="68"/>
      <c r="C23" s="64"/>
      <c r="D23" s="230" t="s">
        <v>959</v>
      </c>
      <c r="E23" s="64" t="s">
        <v>958</v>
      </c>
      <c r="F23" s="64"/>
      <c r="G23" s="64"/>
      <c r="H23" s="215"/>
      <c r="I23" s="100"/>
      <c r="J23" s="64"/>
      <c r="K23" s="100"/>
      <c r="L23" s="64"/>
      <c r="M23" s="64"/>
      <c r="N23" s="64"/>
    </row>
    <row r="24" spans="1:14" s="98" customFormat="1" ht="15" customHeight="1" x14ac:dyDescent="0.2">
      <c r="A24" s="68"/>
      <c r="B24" s="68"/>
      <c r="C24" s="64"/>
      <c r="D24" s="230" t="s">
        <v>959</v>
      </c>
      <c r="E24" s="64" t="s">
        <v>958</v>
      </c>
      <c r="F24" s="64"/>
      <c r="G24" s="64"/>
      <c r="H24" s="215"/>
      <c r="I24" s="100"/>
      <c r="J24" s="64"/>
      <c r="K24" s="100"/>
      <c r="L24" s="64"/>
      <c r="M24" s="64"/>
      <c r="N24" s="64"/>
    </row>
    <row r="25" spans="1:14" s="98" customFormat="1" ht="15" customHeight="1" x14ac:dyDescent="0.2">
      <c r="A25" s="68"/>
      <c r="B25" s="68"/>
      <c r="C25" s="64"/>
      <c r="D25" s="230" t="s">
        <v>959</v>
      </c>
      <c r="E25" s="64" t="s">
        <v>958</v>
      </c>
      <c r="F25" s="64"/>
      <c r="G25" s="64"/>
      <c r="H25" s="215"/>
      <c r="I25" s="100"/>
      <c r="J25" s="64"/>
      <c r="K25" s="100"/>
      <c r="L25" s="64"/>
      <c r="M25" s="64"/>
      <c r="N25" s="64"/>
    </row>
    <row r="26" spans="1:14" s="98" customFormat="1" ht="15" customHeight="1" x14ac:dyDescent="0.2">
      <c r="A26" s="68"/>
      <c r="B26" s="68"/>
      <c r="C26" s="64"/>
      <c r="D26" s="230" t="s">
        <v>959</v>
      </c>
      <c r="E26" s="64" t="s">
        <v>958</v>
      </c>
      <c r="F26" s="64"/>
      <c r="G26" s="64"/>
      <c r="H26" s="215"/>
      <c r="I26" s="100"/>
      <c r="J26" s="64"/>
      <c r="K26" s="100"/>
      <c r="L26" s="64"/>
      <c r="M26" s="64"/>
      <c r="N26" s="64"/>
    </row>
    <row r="27" spans="1:14" s="98" customFormat="1" ht="15" customHeight="1" x14ac:dyDescent="0.2">
      <c r="A27" s="68"/>
      <c r="B27" s="68"/>
      <c r="C27" s="64"/>
      <c r="D27" s="230" t="s">
        <v>959</v>
      </c>
      <c r="E27" s="64" t="s">
        <v>958</v>
      </c>
      <c r="F27" s="64"/>
      <c r="G27" s="64"/>
      <c r="H27" s="215"/>
      <c r="I27" s="100"/>
      <c r="J27" s="64"/>
      <c r="K27" s="100"/>
      <c r="L27" s="64"/>
      <c r="M27" s="64"/>
      <c r="N27" s="64"/>
    </row>
    <row r="28" spans="1:14" s="98" customFormat="1" ht="15" customHeight="1" x14ac:dyDescent="0.2">
      <c r="A28" s="68"/>
      <c r="B28" s="68"/>
      <c r="C28" s="64"/>
      <c r="D28" s="230" t="s">
        <v>959</v>
      </c>
      <c r="E28" s="64" t="s">
        <v>958</v>
      </c>
      <c r="F28" s="64"/>
      <c r="G28" s="64"/>
      <c r="H28" s="215"/>
      <c r="I28" s="100"/>
      <c r="J28" s="64"/>
      <c r="K28" s="100"/>
      <c r="L28" s="64"/>
      <c r="M28" s="64"/>
      <c r="N28" s="64"/>
    </row>
    <row r="29" spans="1:14" s="98" customFormat="1" ht="15" customHeight="1" x14ac:dyDescent="0.2">
      <c r="A29" s="68"/>
      <c r="B29" s="68"/>
      <c r="C29" s="64"/>
      <c r="D29" s="230" t="s">
        <v>959</v>
      </c>
      <c r="E29" s="64" t="s">
        <v>958</v>
      </c>
      <c r="F29" s="64"/>
      <c r="G29" s="64"/>
      <c r="H29" s="215"/>
      <c r="I29" s="100"/>
      <c r="J29" s="64"/>
      <c r="K29" s="100"/>
      <c r="L29" s="64"/>
      <c r="M29" s="64"/>
      <c r="N29" s="64"/>
    </row>
    <row r="30" spans="1:14" s="98" customFormat="1" ht="15" customHeight="1" x14ac:dyDescent="0.2">
      <c r="A30" s="68"/>
      <c r="B30" s="68"/>
      <c r="C30" s="64"/>
      <c r="D30" s="230" t="s">
        <v>959</v>
      </c>
      <c r="E30" s="64" t="s">
        <v>958</v>
      </c>
      <c r="F30" s="64"/>
      <c r="G30" s="64"/>
      <c r="H30" s="215"/>
      <c r="I30" s="100"/>
      <c r="J30" s="64"/>
      <c r="K30" s="100"/>
      <c r="L30" s="64"/>
      <c r="M30" s="64"/>
      <c r="N30" s="64"/>
    </row>
    <row r="31" spans="1:14" s="98" customFormat="1" ht="15" customHeight="1" x14ac:dyDescent="0.2">
      <c r="A31" s="68"/>
      <c r="B31" s="68"/>
      <c r="C31" s="64"/>
      <c r="D31" s="230" t="s">
        <v>959</v>
      </c>
      <c r="E31" s="64" t="s">
        <v>958</v>
      </c>
      <c r="F31" s="64"/>
      <c r="G31" s="64"/>
      <c r="H31" s="215"/>
      <c r="I31" s="100"/>
      <c r="J31" s="64"/>
      <c r="K31" s="100"/>
      <c r="L31" s="64"/>
      <c r="M31" s="64"/>
      <c r="N31" s="64"/>
    </row>
    <row r="32" spans="1:14" s="98" customFormat="1" ht="15" customHeight="1" x14ac:dyDescent="0.2">
      <c r="A32" s="68"/>
      <c r="B32" s="68"/>
      <c r="C32" s="64"/>
      <c r="D32" s="230" t="s">
        <v>959</v>
      </c>
      <c r="E32" s="64" t="s">
        <v>958</v>
      </c>
      <c r="F32" s="64"/>
      <c r="G32" s="64"/>
      <c r="H32" s="215"/>
      <c r="I32" s="100"/>
      <c r="J32" s="64"/>
      <c r="K32" s="100"/>
      <c r="L32" s="64"/>
      <c r="M32" s="64"/>
      <c r="N32" s="64"/>
    </row>
    <row r="33" spans="1:5" s="98" customFormat="1" ht="15" customHeight="1" x14ac:dyDescent="0.2">
      <c r="A33" s="68"/>
      <c r="B33" s="68"/>
      <c r="C33" s="64"/>
      <c r="D33" s="230" t="s">
        <v>959</v>
      </c>
      <c r="E33" s="64" t="s">
        <v>958</v>
      </c>
    </row>
    <row r="34" spans="1:5" s="98" customFormat="1" ht="15" customHeight="1" x14ac:dyDescent="0.2">
      <c r="A34" s="68"/>
      <c r="B34" s="68"/>
      <c r="C34" s="64"/>
      <c r="D34" s="230" t="s">
        <v>959</v>
      </c>
      <c r="E34" s="64" t="s">
        <v>958</v>
      </c>
    </row>
    <row r="35" spans="1:5" s="98" customFormat="1" ht="15" customHeight="1" x14ac:dyDescent="0.2">
      <c r="A35" s="68"/>
      <c r="B35" s="68"/>
      <c r="C35" s="64"/>
      <c r="D35" s="230" t="s">
        <v>959</v>
      </c>
      <c r="E35" s="64" t="s">
        <v>958</v>
      </c>
    </row>
    <row r="36" spans="1:5" s="98" customFormat="1" ht="15" customHeight="1" x14ac:dyDescent="0.2">
      <c r="A36" s="68"/>
      <c r="B36" s="68"/>
      <c r="C36" s="64"/>
      <c r="D36" s="230" t="s">
        <v>959</v>
      </c>
      <c r="E36" s="64" t="s">
        <v>958</v>
      </c>
    </row>
    <row r="37" spans="1:5" s="98" customFormat="1" ht="15" customHeight="1" x14ac:dyDescent="0.2">
      <c r="A37" s="68"/>
      <c r="B37" s="68"/>
      <c r="C37" s="64"/>
      <c r="D37" s="230" t="s">
        <v>959</v>
      </c>
      <c r="E37" s="64" t="s">
        <v>958</v>
      </c>
    </row>
    <row r="38" spans="1:5" s="98" customFormat="1" ht="15" customHeight="1" x14ac:dyDescent="0.2">
      <c r="A38" s="68"/>
      <c r="B38" s="68"/>
      <c r="C38" s="64"/>
      <c r="D38" s="230" t="s">
        <v>959</v>
      </c>
      <c r="E38" s="64" t="s">
        <v>958</v>
      </c>
    </row>
    <row r="39" spans="1:5" s="98" customFormat="1" ht="15" customHeight="1" x14ac:dyDescent="0.2">
      <c r="A39" s="68"/>
      <c r="B39" s="68"/>
      <c r="C39" s="64"/>
      <c r="D39" s="230" t="s">
        <v>959</v>
      </c>
      <c r="E39" s="64" t="s">
        <v>958</v>
      </c>
    </row>
    <row r="40" spans="1:5" s="98" customFormat="1" ht="15" customHeight="1" x14ac:dyDescent="0.2">
      <c r="A40" s="68"/>
      <c r="B40" s="68"/>
      <c r="C40" s="64"/>
      <c r="D40" s="230" t="s">
        <v>959</v>
      </c>
      <c r="E40" s="64" t="s">
        <v>958</v>
      </c>
    </row>
    <row r="41" spans="1:5" s="98" customFormat="1" ht="15" customHeight="1" x14ac:dyDescent="0.2">
      <c r="A41" s="68"/>
      <c r="B41" s="68"/>
      <c r="C41" s="64"/>
      <c r="D41" s="230" t="s">
        <v>959</v>
      </c>
      <c r="E41" s="64" t="s">
        <v>958</v>
      </c>
    </row>
    <row r="42" spans="1:5" s="98" customFormat="1" ht="15" customHeight="1" x14ac:dyDescent="0.2">
      <c r="A42" s="68"/>
      <c r="B42" s="68"/>
      <c r="C42" s="64"/>
      <c r="D42" s="230" t="s">
        <v>959</v>
      </c>
      <c r="E42" s="64" t="s">
        <v>958</v>
      </c>
    </row>
    <row r="43" spans="1:5" s="98" customFormat="1" ht="15" customHeight="1" x14ac:dyDescent="0.2">
      <c r="A43" s="68"/>
      <c r="B43" s="68"/>
      <c r="C43" s="64"/>
      <c r="D43" s="230" t="s">
        <v>959</v>
      </c>
      <c r="E43" s="64" t="s">
        <v>958</v>
      </c>
    </row>
    <row r="44" spans="1:5" s="98" customFormat="1" ht="15" customHeight="1" x14ac:dyDescent="0.2">
      <c r="A44" s="68"/>
      <c r="B44" s="68"/>
      <c r="C44" s="64"/>
      <c r="D44" s="230" t="s">
        <v>959</v>
      </c>
      <c r="E44" s="64" t="s">
        <v>958</v>
      </c>
    </row>
    <row r="45" spans="1:5" s="98" customFormat="1" ht="15" customHeight="1" x14ac:dyDescent="0.2">
      <c r="A45" s="68"/>
      <c r="B45" s="68"/>
      <c r="C45" s="64"/>
      <c r="D45" s="230" t="s">
        <v>959</v>
      </c>
      <c r="E45" s="64" t="s">
        <v>958</v>
      </c>
    </row>
    <row r="46" spans="1:5" s="98" customFormat="1" ht="15" customHeight="1" x14ac:dyDescent="0.2">
      <c r="A46" s="68"/>
      <c r="B46" s="68"/>
      <c r="C46" s="64"/>
      <c r="D46" s="230" t="s">
        <v>959</v>
      </c>
      <c r="E46" s="64" t="s">
        <v>958</v>
      </c>
    </row>
    <row r="47" spans="1:5" s="98" customFormat="1" ht="15" customHeight="1" x14ac:dyDescent="0.2">
      <c r="A47" s="68"/>
      <c r="B47" s="68"/>
      <c r="C47" s="64"/>
      <c r="D47" s="230" t="s">
        <v>959</v>
      </c>
      <c r="E47" s="64" t="s">
        <v>958</v>
      </c>
    </row>
    <row r="48" spans="1:5" s="98" customFormat="1" ht="15" customHeight="1" x14ac:dyDescent="0.2">
      <c r="A48" s="68"/>
      <c r="B48" s="68"/>
      <c r="C48" s="64"/>
      <c r="D48" s="230" t="s">
        <v>959</v>
      </c>
      <c r="E48" s="64" t="s">
        <v>958</v>
      </c>
    </row>
    <row r="49" spans="1:5" s="98" customFormat="1" ht="15" customHeight="1" x14ac:dyDescent="0.2">
      <c r="A49" s="68"/>
      <c r="B49" s="68"/>
      <c r="C49" s="64"/>
      <c r="D49" s="230" t="s">
        <v>959</v>
      </c>
      <c r="E49" s="64" t="s">
        <v>958</v>
      </c>
    </row>
    <row r="50" spans="1:5" s="98" customFormat="1" ht="15" customHeight="1" x14ac:dyDescent="0.2">
      <c r="A50" s="68"/>
      <c r="B50" s="68"/>
      <c r="C50" s="64"/>
      <c r="D50" s="230" t="s">
        <v>959</v>
      </c>
      <c r="E50" s="64" t="s">
        <v>958</v>
      </c>
    </row>
    <row r="51" spans="1:5" s="98" customFormat="1" ht="15" customHeight="1" x14ac:dyDescent="0.2">
      <c r="A51" s="68"/>
      <c r="B51" s="68"/>
      <c r="C51" s="64"/>
      <c r="D51" s="230" t="s">
        <v>959</v>
      </c>
      <c r="E51" s="64" t="s">
        <v>958</v>
      </c>
    </row>
    <row r="52" spans="1:5" s="98" customFormat="1" ht="15" customHeight="1" x14ac:dyDescent="0.2">
      <c r="A52" s="68"/>
      <c r="B52" s="68"/>
      <c r="C52" s="64"/>
      <c r="D52" s="230" t="s">
        <v>959</v>
      </c>
      <c r="E52" s="64" t="s">
        <v>958</v>
      </c>
    </row>
    <row r="53" spans="1:5" s="98" customFormat="1" ht="15" customHeight="1" x14ac:dyDescent="0.2">
      <c r="A53" s="68"/>
      <c r="B53" s="68"/>
      <c r="C53" s="64"/>
      <c r="D53" s="230" t="s">
        <v>959</v>
      </c>
      <c r="E53" s="64" t="s">
        <v>958</v>
      </c>
    </row>
    <row r="54" spans="1:5" s="98" customFormat="1" ht="15" customHeight="1" x14ac:dyDescent="0.2">
      <c r="A54" s="68"/>
      <c r="B54" s="68"/>
      <c r="C54" s="64"/>
      <c r="D54" s="230" t="s">
        <v>959</v>
      </c>
      <c r="E54" s="64" t="s">
        <v>958</v>
      </c>
    </row>
    <row r="55" spans="1:5" s="98" customFormat="1" ht="15" customHeight="1" x14ac:dyDescent="0.2">
      <c r="A55" s="68"/>
      <c r="B55" s="68"/>
      <c r="C55" s="64"/>
      <c r="D55" s="230" t="s">
        <v>959</v>
      </c>
      <c r="E55" s="64" t="s">
        <v>958</v>
      </c>
    </row>
    <row r="56" spans="1:5" s="98" customFormat="1" ht="15" customHeight="1" x14ac:dyDescent="0.2">
      <c r="A56" s="68"/>
      <c r="B56" s="68"/>
      <c r="C56" s="64"/>
      <c r="D56" s="230" t="s">
        <v>959</v>
      </c>
      <c r="E56" s="64" t="s">
        <v>958</v>
      </c>
    </row>
    <row r="57" spans="1:5" s="98" customFormat="1" ht="15" customHeight="1" x14ac:dyDescent="0.2">
      <c r="A57" s="68"/>
      <c r="B57" s="68"/>
      <c r="C57" s="64"/>
      <c r="D57" s="230" t="s">
        <v>959</v>
      </c>
      <c r="E57" s="64" t="s">
        <v>958</v>
      </c>
    </row>
    <row r="58" spans="1:5" s="98" customFormat="1" ht="15" customHeight="1" x14ac:dyDescent="0.2">
      <c r="A58" s="68"/>
      <c r="B58" s="68"/>
      <c r="C58" s="64"/>
      <c r="D58" s="230" t="s">
        <v>959</v>
      </c>
      <c r="E58" s="64" t="s">
        <v>958</v>
      </c>
    </row>
    <row r="59" spans="1:5" s="98" customFormat="1" ht="15" customHeight="1" x14ac:dyDescent="0.2">
      <c r="A59" s="68"/>
      <c r="B59" s="68"/>
      <c r="C59" s="64"/>
      <c r="D59" s="230" t="s">
        <v>959</v>
      </c>
      <c r="E59" s="64" t="s">
        <v>958</v>
      </c>
    </row>
    <row r="60" spans="1:5" s="98" customFormat="1" ht="15" customHeight="1" x14ac:dyDescent="0.2">
      <c r="A60" s="68"/>
      <c r="B60" s="68"/>
      <c r="C60" s="64"/>
      <c r="D60" s="230" t="s">
        <v>959</v>
      </c>
      <c r="E60" s="64" t="s">
        <v>958</v>
      </c>
    </row>
    <row r="61" spans="1:5" s="98" customFormat="1" ht="15" customHeight="1" x14ac:dyDescent="0.2">
      <c r="A61" s="68"/>
      <c r="B61" s="68"/>
      <c r="C61" s="64"/>
      <c r="D61" s="230" t="s">
        <v>959</v>
      </c>
      <c r="E61" s="64" t="s">
        <v>958</v>
      </c>
    </row>
    <row r="62" spans="1:5" s="98" customFormat="1" ht="15" customHeight="1" x14ac:dyDescent="0.2">
      <c r="A62" s="68"/>
      <c r="B62" s="68"/>
      <c r="C62" s="64"/>
      <c r="D62" s="230" t="s">
        <v>959</v>
      </c>
      <c r="E62" s="64" t="s">
        <v>958</v>
      </c>
    </row>
    <row r="63" spans="1:5" s="98" customFormat="1" ht="15" customHeight="1" x14ac:dyDescent="0.2">
      <c r="A63" s="68"/>
      <c r="B63" s="68"/>
      <c r="C63" s="64"/>
      <c r="D63" s="230" t="s">
        <v>959</v>
      </c>
      <c r="E63" s="64" t="s">
        <v>958</v>
      </c>
    </row>
    <row r="64" spans="1:5" s="98" customFormat="1" ht="15" customHeight="1" x14ac:dyDescent="0.2">
      <c r="A64" s="68"/>
      <c r="B64" s="68"/>
      <c r="C64" s="64"/>
      <c r="D64" s="230" t="s">
        <v>959</v>
      </c>
      <c r="E64" s="64" t="s">
        <v>958</v>
      </c>
    </row>
    <row r="65" spans="1:5" s="98" customFormat="1" ht="15" customHeight="1" x14ac:dyDescent="0.2">
      <c r="A65" s="68"/>
      <c r="B65" s="68"/>
      <c r="C65" s="64"/>
      <c r="D65" s="230" t="s">
        <v>959</v>
      </c>
      <c r="E65" s="64" t="s">
        <v>958</v>
      </c>
    </row>
    <row r="66" spans="1:5" s="98" customFormat="1" ht="15" customHeight="1" x14ac:dyDescent="0.2">
      <c r="A66" s="68"/>
      <c r="B66" s="68"/>
      <c r="C66" s="64"/>
      <c r="D66" s="230" t="s">
        <v>959</v>
      </c>
      <c r="E66" s="64" t="s">
        <v>958</v>
      </c>
    </row>
    <row r="67" spans="1:5" s="98" customFormat="1" ht="15" customHeight="1" x14ac:dyDescent="0.2">
      <c r="A67" s="68"/>
      <c r="B67" s="68"/>
      <c r="C67" s="64"/>
      <c r="D67" s="230" t="s">
        <v>959</v>
      </c>
      <c r="E67" s="64" t="s">
        <v>958</v>
      </c>
    </row>
    <row r="68" spans="1:5" s="98" customFormat="1" ht="15" customHeight="1" x14ac:dyDescent="0.2">
      <c r="A68" s="68"/>
      <c r="B68" s="68"/>
      <c r="C68" s="64"/>
      <c r="D68" s="230" t="s">
        <v>959</v>
      </c>
      <c r="E68" s="64" t="s">
        <v>958</v>
      </c>
    </row>
    <row r="69" spans="1:5" s="98" customFormat="1" ht="15" customHeight="1" x14ac:dyDescent="0.2">
      <c r="A69" s="68"/>
      <c r="B69" s="68"/>
      <c r="C69" s="64"/>
      <c r="D69" s="230" t="s">
        <v>959</v>
      </c>
      <c r="E69" s="64" t="s">
        <v>958</v>
      </c>
    </row>
    <row r="70" spans="1:5" s="98" customFormat="1" ht="15" customHeight="1" x14ac:dyDescent="0.2">
      <c r="A70" s="68"/>
      <c r="B70" s="68"/>
      <c r="C70" s="64"/>
      <c r="D70" s="230" t="s">
        <v>959</v>
      </c>
      <c r="E70" s="64" t="s">
        <v>958</v>
      </c>
    </row>
    <row r="71" spans="1:5" s="98" customFormat="1" ht="15" customHeight="1" x14ac:dyDescent="0.2">
      <c r="A71" s="68"/>
      <c r="B71" s="68"/>
      <c r="C71" s="64"/>
      <c r="D71" s="230" t="s">
        <v>959</v>
      </c>
      <c r="E71" s="64" t="s">
        <v>958</v>
      </c>
    </row>
    <row r="72" spans="1:5" s="98" customFormat="1" ht="15" customHeight="1" x14ac:dyDescent="0.2">
      <c r="A72" s="68"/>
      <c r="B72" s="68"/>
      <c r="C72" s="64"/>
      <c r="D72" s="230" t="s">
        <v>959</v>
      </c>
      <c r="E72" s="64" t="s">
        <v>958</v>
      </c>
    </row>
    <row r="73" spans="1:5" s="98" customFormat="1" ht="15" customHeight="1" x14ac:dyDescent="0.2">
      <c r="A73" s="68"/>
      <c r="B73" s="68"/>
      <c r="C73" s="64"/>
      <c r="D73" s="230" t="s">
        <v>959</v>
      </c>
      <c r="E73" s="64" t="s">
        <v>958</v>
      </c>
    </row>
    <row r="74" spans="1:5" s="98" customFormat="1" ht="15" customHeight="1" x14ac:dyDescent="0.2">
      <c r="A74" s="68"/>
      <c r="B74" s="68"/>
      <c r="C74" s="64"/>
      <c r="D74" s="230" t="s">
        <v>959</v>
      </c>
      <c r="E74" s="64" t="s">
        <v>958</v>
      </c>
    </row>
    <row r="75" spans="1:5" s="98" customFormat="1" ht="15" customHeight="1" x14ac:dyDescent="0.2">
      <c r="A75" s="68"/>
      <c r="B75" s="68"/>
      <c r="C75" s="64"/>
      <c r="D75" s="230" t="s">
        <v>959</v>
      </c>
      <c r="E75" s="64" t="s">
        <v>958</v>
      </c>
    </row>
    <row r="76" spans="1:5" s="98" customFormat="1" ht="15" customHeight="1" x14ac:dyDescent="0.2">
      <c r="A76" s="68"/>
      <c r="B76" s="68"/>
      <c r="C76" s="64"/>
      <c r="D76" s="230" t="s">
        <v>959</v>
      </c>
      <c r="E76" s="64" t="s">
        <v>958</v>
      </c>
    </row>
    <row r="77" spans="1:5" s="98" customFormat="1" ht="15" customHeight="1" x14ac:dyDescent="0.2">
      <c r="A77" s="68"/>
      <c r="B77" s="68"/>
      <c r="C77" s="64"/>
      <c r="D77" s="230" t="s">
        <v>959</v>
      </c>
      <c r="E77" s="64" t="s">
        <v>958</v>
      </c>
    </row>
    <row r="78" spans="1:5" s="98" customFormat="1" ht="15" customHeight="1" x14ac:dyDescent="0.2">
      <c r="A78" s="68"/>
      <c r="B78" s="68"/>
      <c r="C78" s="64"/>
      <c r="D78" s="230" t="s">
        <v>959</v>
      </c>
      <c r="E78" s="64" t="s">
        <v>958</v>
      </c>
    </row>
    <row r="79" spans="1:5" s="98" customFormat="1" ht="15" customHeight="1" x14ac:dyDescent="0.2">
      <c r="A79" s="68"/>
      <c r="B79" s="68"/>
      <c r="C79" s="64"/>
      <c r="D79" s="230" t="s">
        <v>959</v>
      </c>
      <c r="E79" s="64" t="s">
        <v>958</v>
      </c>
    </row>
    <row r="80" spans="1:5" s="98" customFormat="1" ht="15" customHeight="1" x14ac:dyDescent="0.2">
      <c r="A80" s="68"/>
      <c r="B80" s="68"/>
      <c r="C80" s="64"/>
      <c r="D80" s="230" t="s">
        <v>959</v>
      </c>
      <c r="E80" s="64" t="s">
        <v>958</v>
      </c>
    </row>
    <row r="81" spans="1:5" s="98" customFormat="1" ht="15" customHeight="1" x14ac:dyDescent="0.2">
      <c r="A81" s="68"/>
      <c r="B81" s="68"/>
      <c r="C81" s="64"/>
      <c r="D81" s="230" t="s">
        <v>959</v>
      </c>
      <c r="E81" s="64" t="s">
        <v>958</v>
      </c>
    </row>
    <row r="82" spans="1:5" s="98" customFormat="1" ht="15" customHeight="1" x14ac:dyDescent="0.2">
      <c r="A82" s="68"/>
      <c r="B82" s="68"/>
      <c r="C82" s="64"/>
      <c r="D82" s="230" t="s">
        <v>959</v>
      </c>
      <c r="E82" s="64" t="s">
        <v>958</v>
      </c>
    </row>
    <row r="83" spans="1:5" s="98" customFormat="1" ht="15" customHeight="1" x14ac:dyDescent="0.2">
      <c r="A83" s="68"/>
      <c r="B83" s="68"/>
      <c r="C83" s="64"/>
      <c r="D83" s="230" t="s">
        <v>959</v>
      </c>
      <c r="E83" s="64" t="s">
        <v>958</v>
      </c>
    </row>
    <row r="84" spans="1:5" s="98" customFormat="1" ht="15" customHeight="1" x14ac:dyDescent="0.2">
      <c r="A84" s="68"/>
      <c r="B84" s="68"/>
      <c r="C84" s="64"/>
      <c r="D84" s="230" t="s">
        <v>959</v>
      </c>
      <c r="E84" s="64" t="s">
        <v>958</v>
      </c>
    </row>
    <row r="85" spans="1:5" s="98" customFormat="1" ht="15" customHeight="1" x14ac:dyDescent="0.2">
      <c r="A85" s="68"/>
      <c r="B85" s="68"/>
      <c r="C85" s="64"/>
      <c r="D85" s="230" t="s">
        <v>959</v>
      </c>
      <c r="E85" s="64" t="s">
        <v>958</v>
      </c>
    </row>
    <row r="86" spans="1:5" s="98" customFormat="1" ht="15" customHeight="1" x14ac:dyDescent="0.2">
      <c r="A86" s="68"/>
      <c r="B86" s="68"/>
      <c r="C86" s="64"/>
      <c r="D86" s="230" t="s">
        <v>959</v>
      </c>
      <c r="E86" s="64" t="s">
        <v>958</v>
      </c>
    </row>
    <row r="87" spans="1:5" s="98" customFormat="1" ht="15" customHeight="1" x14ac:dyDescent="0.2">
      <c r="A87" s="68"/>
      <c r="B87" s="68"/>
      <c r="C87" s="64"/>
      <c r="D87" s="230" t="s">
        <v>959</v>
      </c>
      <c r="E87" s="64" t="s">
        <v>958</v>
      </c>
    </row>
    <row r="88" spans="1:5" s="98" customFormat="1" ht="15" customHeight="1" x14ac:dyDescent="0.2">
      <c r="A88" s="68"/>
      <c r="B88" s="68"/>
      <c r="C88" s="64"/>
      <c r="D88" s="230" t="s">
        <v>959</v>
      </c>
      <c r="E88" s="64" t="s">
        <v>958</v>
      </c>
    </row>
    <row r="89" spans="1:5" s="98" customFormat="1" ht="15" customHeight="1" x14ac:dyDescent="0.2">
      <c r="A89" s="68"/>
      <c r="B89" s="68"/>
      <c r="C89" s="64"/>
      <c r="D89" s="230" t="s">
        <v>959</v>
      </c>
      <c r="E89" s="64" t="s">
        <v>958</v>
      </c>
    </row>
    <row r="90" spans="1:5" s="98" customFormat="1" ht="15" customHeight="1" x14ac:dyDescent="0.2">
      <c r="A90" s="68"/>
      <c r="B90" s="68"/>
      <c r="C90" s="64"/>
      <c r="D90" s="230" t="s">
        <v>959</v>
      </c>
      <c r="E90" s="64" t="s">
        <v>958</v>
      </c>
    </row>
    <row r="91" spans="1:5" s="98" customFormat="1" ht="15" customHeight="1" x14ac:dyDescent="0.2">
      <c r="A91" s="68"/>
      <c r="B91" s="68"/>
      <c r="C91" s="64"/>
      <c r="D91" s="230" t="s">
        <v>959</v>
      </c>
      <c r="E91" s="64" t="s">
        <v>958</v>
      </c>
    </row>
    <row r="92" spans="1:5" s="98" customFormat="1" ht="15" customHeight="1" x14ac:dyDescent="0.2">
      <c r="A92" s="68"/>
      <c r="B92" s="68"/>
      <c r="C92" s="64"/>
      <c r="D92" s="230" t="s">
        <v>959</v>
      </c>
      <c r="E92" s="64" t="s">
        <v>958</v>
      </c>
    </row>
    <row r="93" spans="1:5" s="98" customFormat="1" ht="15" customHeight="1" x14ac:dyDescent="0.2">
      <c r="A93" s="68"/>
      <c r="B93" s="68"/>
      <c r="C93" s="64"/>
      <c r="D93" s="230" t="s">
        <v>959</v>
      </c>
      <c r="E93" s="64" t="s">
        <v>958</v>
      </c>
    </row>
    <row r="94" spans="1:5" s="98" customFormat="1" ht="15" customHeight="1" x14ac:dyDescent="0.2">
      <c r="A94" s="68"/>
      <c r="B94" s="68"/>
      <c r="C94" s="64"/>
      <c r="D94" s="230" t="s">
        <v>959</v>
      </c>
      <c r="E94" s="64" t="s">
        <v>958</v>
      </c>
    </row>
    <row r="95" spans="1:5" s="98" customFormat="1" ht="15" customHeight="1" x14ac:dyDescent="0.2">
      <c r="A95" s="68"/>
      <c r="B95" s="68"/>
      <c r="C95" s="64"/>
      <c r="D95" s="230" t="s">
        <v>959</v>
      </c>
      <c r="E95" s="64" t="s">
        <v>958</v>
      </c>
    </row>
    <row r="96" spans="1:5" s="98" customFormat="1" ht="15" customHeight="1" x14ac:dyDescent="0.2">
      <c r="A96" s="68"/>
      <c r="B96" s="68"/>
      <c r="C96" s="64"/>
      <c r="D96" s="230" t="s">
        <v>959</v>
      </c>
      <c r="E96" s="64" t="s">
        <v>958</v>
      </c>
    </row>
    <row r="97" spans="1:5" s="98" customFormat="1" ht="15" customHeight="1" x14ac:dyDescent="0.2">
      <c r="A97" s="68"/>
      <c r="B97" s="68"/>
      <c r="C97" s="64"/>
      <c r="D97" s="230" t="s">
        <v>959</v>
      </c>
      <c r="E97" s="64" t="s">
        <v>958</v>
      </c>
    </row>
    <row r="98" spans="1:5" s="98" customFormat="1" ht="15" customHeight="1" x14ac:dyDescent="0.2">
      <c r="A98" s="68"/>
      <c r="B98" s="68"/>
      <c r="C98" s="64"/>
      <c r="D98" s="230" t="s">
        <v>959</v>
      </c>
      <c r="E98" s="64" t="s">
        <v>958</v>
      </c>
    </row>
    <row r="99" spans="1:5" s="98" customFormat="1" ht="15" customHeight="1" x14ac:dyDescent="0.2">
      <c r="A99" s="68"/>
      <c r="B99" s="68"/>
      <c r="C99" s="64"/>
      <c r="D99" s="230" t="s">
        <v>959</v>
      </c>
      <c r="E99" s="64" t="s">
        <v>958</v>
      </c>
    </row>
    <row r="100" spans="1:5" s="98" customFormat="1" ht="15" customHeight="1" x14ac:dyDescent="0.2">
      <c r="A100" s="68"/>
      <c r="B100" s="68"/>
      <c r="C100" s="64"/>
      <c r="D100" s="230" t="s">
        <v>959</v>
      </c>
      <c r="E100" s="64" t="s">
        <v>958</v>
      </c>
    </row>
    <row r="101" spans="1:5" s="98" customFormat="1" ht="15" customHeight="1" x14ac:dyDescent="0.2">
      <c r="A101" s="68"/>
      <c r="B101" s="68"/>
      <c r="C101" s="64"/>
      <c r="D101" s="230" t="s">
        <v>959</v>
      </c>
      <c r="E101" s="64" t="s">
        <v>958</v>
      </c>
    </row>
    <row r="102" spans="1:5" s="98" customFormat="1" ht="15" customHeight="1" x14ac:dyDescent="0.2">
      <c r="A102" s="68"/>
      <c r="B102" s="68"/>
      <c r="C102" s="64"/>
      <c r="D102" s="230" t="s">
        <v>959</v>
      </c>
      <c r="E102" s="64" t="s">
        <v>958</v>
      </c>
    </row>
    <row r="103" spans="1:5" s="98" customFormat="1" ht="15" customHeight="1" x14ac:dyDescent="0.2">
      <c r="A103" s="68"/>
      <c r="B103" s="68"/>
      <c r="C103" s="64"/>
      <c r="D103" s="230" t="s">
        <v>959</v>
      </c>
      <c r="E103" s="64" t="s">
        <v>958</v>
      </c>
    </row>
    <row r="104" spans="1:5" s="98" customFormat="1" ht="15" customHeight="1" x14ac:dyDescent="0.2">
      <c r="A104" s="68"/>
      <c r="B104" s="68"/>
      <c r="C104" s="64"/>
      <c r="D104" s="230" t="s">
        <v>959</v>
      </c>
      <c r="E104" s="64" t="s">
        <v>958</v>
      </c>
    </row>
    <row r="105" spans="1:5" s="98" customFormat="1" ht="15" customHeight="1" x14ac:dyDescent="0.2">
      <c r="A105" s="68"/>
      <c r="B105" s="68"/>
      <c r="C105" s="64"/>
      <c r="D105" s="230" t="s">
        <v>959</v>
      </c>
      <c r="E105" s="64" t="s">
        <v>958</v>
      </c>
    </row>
    <row r="106" spans="1:5" s="98" customFormat="1" ht="15" customHeight="1" x14ac:dyDescent="0.2">
      <c r="A106" s="68"/>
      <c r="B106" s="68"/>
      <c r="C106" s="64"/>
      <c r="D106" s="230" t="s">
        <v>959</v>
      </c>
      <c r="E106" s="64" t="s">
        <v>958</v>
      </c>
    </row>
    <row r="107" spans="1:5" s="98" customFormat="1" ht="15" customHeight="1" x14ac:dyDescent="0.2">
      <c r="A107" s="68"/>
      <c r="B107" s="68"/>
      <c r="C107" s="64"/>
      <c r="D107" s="230" t="s">
        <v>959</v>
      </c>
      <c r="E107" s="64" t="s">
        <v>958</v>
      </c>
    </row>
    <row r="108" spans="1:5" s="98" customFormat="1" ht="15" customHeight="1" x14ac:dyDescent="0.2">
      <c r="A108" s="68"/>
      <c r="B108" s="68"/>
      <c r="C108" s="64"/>
      <c r="D108" s="230" t="s">
        <v>959</v>
      </c>
      <c r="E108" s="64" t="s">
        <v>958</v>
      </c>
    </row>
    <row r="109" spans="1:5" s="98" customFormat="1" ht="15" customHeight="1" x14ac:dyDescent="0.2">
      <c r="A109" s="68"/>
      <c r="B109" s="68"/>
      <c r="C109" s="64"/>
      <c r="D109" s="230" t="s">
        <v>959</v>
      </c>
      <c r="E109" s="64" t="s">
        <v>958</v>
      </c>
    </row>
    <row r="110" spans="1:5" s="98" customFormat="1" ht="15" customHeight="1" x14ac:dyDescent="0.2">
      <c r="A110" s="68"/>
      <c r="B110" s="68"/>
      <c r="C110" s="64"/>
      <c r="D110" s="230" t="s">
        <v>959</v>
      </c>
      <c r="E110" s="64" t="s">
        <v>958</v>
      </c>
    </row>
    <row r="111" spans="1:5" s="98" customFormat="1" ht="15" customHeight="1" x14ac:dyDescent="0.2">
      <c r="A111" s="68"/>
      <c r="B111" s="68"/>
      <c r="C111" s="64"/>
      <c r="D111" s="230" t="s">
        <v>959</v>
      </c>
      <c r="E111" s="64" t="s">
        <v>958</v>
      </c>
    </row>
    <row r="112" spans="1:5" s="98" customFormat="1" ht="15" customHeight="1" x14ac:dyDescent="0.2">
      <c r="A112" s="68"/>
      <c r="B112" s="68"/>
      <c r="C112" s="64"/>
      <c r="D112" s="230" t="s">
        <v>959</v>
      </c>
      <c r="E112" s="64" t="s">
        <v>958</v>
      </c>
    </row>
    <row r="113" spans="1:5" s="98" customFormat="1" ht="15" customHeight="1" x14ac:dyDescent="0.2">
      <c r="A113" s="68"/>
      <c r="B113" s="68"/>
      <c r="C113" s="64"/>
      <c r="D113" s="230" t="s">
        <v>959</v>
      </c>
      <c r="E113" s="64" t="s">
        <v>958</v>
      </c>
    </row>
    <row r="114" spans="1:5" s="98" customFormat="1" ht="15" customHeight="1" x14ac:dyDescent="0.2">
      <c r="A114" s="68"/>
      <c r="B114" s="68"/>
      <c r="C114" s="64"/>
      <c r="D114" s="230" t="s">
        <v>959</v>
      </c>
      <c r="E114" s="64" t="s">
        <v>958</v>
      </c>
    </row>
    <row r="115" spans="1:5" s="98" customFormat="1" ht="15" customHeight="1" x14ac:dyDescent="0.2">
      <c r="A115" s="68"/>
      <c r="B115" s="68"/>
      <c r="C115" s="64"/>
      <c r="D115" s="230" t="s">
        <v>959</v>
      </c>
      <c r="E115" s="64" t="s">
        <v>958</v>
      </c>
    </row>
    <row r="116" spans="1:5" s="98" customFormat="1" ht="15" customHeight="1" x14ac:dyDescent="0.2">
      <c r="A116" s="68"/>
      <c r="B116" s="68"/>
      <c r="C116" s="64"/>
      <c r="D116" s="230" t="s">
        <v>959</v>
      </c>
      <c r="E116" s="64" t="s">
        <v>958</v>
      </c>
    </row>
    <row r="117" spans="1:5" s="98" customFormat="1" ht="15" customHeight="1" x14ac:dyDescent="0.2">
      <c r="A117" s="68"/>
      <c r="B117" s="68"/>
      <c r="C117" s="64"/>
      <c r="D117" s="230" t="s">
        <v>959</v>
      </c>
      <c r="E117" s="64" t="s">
        <v>958</v>
      </c>
    </row>
    <row r="118" spans="1:5" s="98" customFormat="1" ht="15" customHeight="1" x14ac:dyDescent="0.2">
      <c r="A118" s="68"/>
      <c r="B118" s="68"/>
      <c r="C118" s="64"/>
      <c r="D118" s="230" t="s">
        <v>959</v>
      </c>
      <c r="E118" s="64" t="s">
        <v>958</v>
      </c>
    </row>
    <row r="119" spans="1:5" s="98" customFormat="1" ht="15" customHeight="1" x14ac:dyDescent="0.2">
      <c r="A119" s="68"/>
      <c r="B119" s="68"/>
      <c r="C119" s="64"/>
      <c r="D119" s="230" t="s">
        <v>959</v>
      </c>
      <c r="E119" s="64" t="s">
        <v>958</v>
      </c>
    </row>
    <row r="120" spans="1:5" s="98" customFormat="1" ht="15" customHeight="1" x14ac:dyDescent="0.2">
      <c r="A120" s="68"/>
      <c r="B120" s="68"/>
      <c r="C120" s="64"/>
      <c r="D120" s="230" t="s">
        <v>959</v>
      </c>
      <c r="E120" s="64" t="s">
        <v>958</v>
      </c>
    </row>
    <row r="121" spans="1:5" s="98" customFormat="1" ht="15" customHeight="1" x14ac:dyDescent="0.2">
      <c r="A121" s="68"/>
      <c r="B121" s="68"/>
      <c r="C121" s="64"/>
      <c r="D121" s="230" t="s">
        <v>959</v>
      </c>
      <c r="E121" s="64" t="s">
        <v>958</v>
      </c>
    </row>
    <row r="122" spans="1:5" s="98" customFormat="1" ht="15" customHeight="1" x14ac:dyDescent="0.2">
      <c r="A122" s="68"/>
      <c r="B122" s="68"/>
      <c r="C122" s="64"/>
      <c r="D122" s="230" t="s">
        <v>959</v>
      </c>
      <c r="E122" s="64" t="s">
        <v>958</v>
      </c>
    </row>
    <row r="123" spans="1:5" s="98" customFormat="1" ht="15" customHeight="1" x14ac:dyDescent="0.2">
      <c r="A123" s="68"/>
      <c r="B123" s="68"/>
      <c r="C123" s="64"/>
      <c r="D123" s="230" t="s">
        <v>959</v>
      </c>
      <c r="E123" s="64" t="s">
        <v>958</v>
      </c>
    </row>
    <row r="124" spans="1:5" s="98" customFormat="1" ht="15" customHeight="1" x14ac:dyDescent="0.2">
      <c r="A124" s="68"/>
      <c r="B124" s="68"/>
      <c r="C124" s="64"/>
      <c r="D124" s="230" t="s">
        <v>959</v>
      </c>
      <c r="E124" s="64" t="s">
        <v>958</v>
      </c>
    </row>
    <row r="125" spans="1:5" s="98" customFormat="1" ht="15" customHeight="1" x14ac:dyDescent="0.2">
      <c r="A125" s="68"/>
      <c r="B125" s="68"/>
      <c r="C125" s="64"/>
      <c r="D125" s="230" t="s">
        <v>959</v>
      </c>
      <c r="E125" s="64" t="s">
        <v>958</v>
      </c>
    </row>
    <row r="126" spans="1:5" s="98" customFormat="1" ht="15" customHeight="1" x14ac:dyDescent="0.2">
      <c r="A126" s="68"/>
      <c r="B126" s="68"/>
      <c r="C126" s="64"/>
      <c r="D126" s="230" t="s">
        <v>959</v>
      </c>
      <c r="E126" s="64" t="s">
        <v>958</v>
      </c>
    </row>
    <row r="127" spans="1:5" s="98" customFormat="1" ht="15" customHeight="1" x14ac:dyDescent="0.2">
      <c r="A127" s="68"/>
      <c r="B127" s="68"/>
      <c r="C127" s="64"/>
      <c r="D127" s="230" t="s">
        <v>959</v>
      </c>
      <c r="E127" s="64" t="s">
        <v>958</v>
      </c>
    </row>
    <row r="128" spans="1:5" s="98" customFormat="1" ht="15" customHeight="1" x14ac:dyDescent="0.2">
      <c r="A128" s="68"/>
      <c r="B128" s="68"/>
      <c r="C128" s="64"/>
      <c r="D128" s="230" t="s">
        <v>959</v>
      </c>
      <c r="E128" s="64" t="s">
        <v>958</v>
      </c>
    </row>
    <row r="129" spans="1:5" s="98" customFormat="1" ht="15" customHeight="1" x14ac:dyDescent="0.2">
      <c r="A129" s="68"/>
      <c r="B129" s="68"/>
      <c r="C129" s="64"/>
      <c r="D129" s="230" t="s">
        <v>959</v>
      </c>
      <c r="E129" s="64" t="s">
        <v>958</v>
      </c>
    </row>
    <row r="130" spans="1:5" s="98" customFormat="1" ht="15" customHeight="1" x14ac:dyDescent="0.2">
      <c r="A130" s="68"/>
      <c r="B130" s="68"/>
      <c r="C130" s="64"/>
      <c r="D130" s="230" t="s">
        <v>959</v>
      </c>
      <c r="E130" s="64" t="s">
        <v>958</v>
      </c>
    </row>
    <row r="131" spans="1:5" s="98" customFormat="1" ht="15" customHeight="1" x14ac:dyDescent="0.2">
      <c r="A131" s="68"/>
      <c r="B131" s="68"/>
      <c r="C131" s="64"/>
      <c r="D131" s="230" t="s">
        <v>959</v>
      </c>
      <c r="E131" s="64" t="s">
        <v>958</v>
      </c>
    </row>
    <row r="132" spans="1:5" s="98" customFormat="1" ht="15" customHeight="1" x14ac:dyDescent="0.2">
      <c r="A132" s="68"/>
      <c r="B132" s="68"/>
      <c r="C132" s="64"/>
      <c r="D132" s="230" t="s">
        <v>959</v>
      </c>
      <c r="E132" s="64" t="s">
        <v>958</v>
      </c>
    </row>
    <row r="133" spans="1:5" s="98" customFormat="1" ht="15" customHeight="1" x14ac:dyDescent="0.2">
      <c r="A133" s="68"/>
      <c r="B133" s="68"/>
      <c r="C133" s="64"/>
      <c r="D133" s="230" t="s">
        <v>959</v>
      </c>
      <c r="E133" s="64" t="s">
        <v>958</v>
      </c>
    </row>
    <row r="134" spans="1:5" s="98" customFormat="1" ht="15" customHeight="1" x14ac:dyDescent="0.2">
      <c r="A134" s="68"/>
      <c r="B134" s="68"/>
      <c r="C134" s="64"/>
      <c r="D134" s="230" t="s">
        <v>959</v>
      </c>
      <c r="E134" s="64" t="s">
        <v>958</v>
      </c>
    </row>
    <row r="135" spans="1:5" s="98" customFormat="1" ht="15" customHeight="1" x14ac:dyDescent="0.2">
      <c r="A135" s="68"/>
      <c r="B135" s="68"/>
      <c r="C135" s="64"/>
      <c r="D135" s="230" t="s">
        <v>959</v>
      </c>
      <c r="E135" s="64" t="s">
        <v>958</v>
      </c>
    </row>
    <row r="136" spans="1:5" s="98" customFormat="1" ht="15" customHeight="1" x14ac:dyDescent="0.2">
      <c r="A136" s="68"/>
      <c r="B136" s="68"/>
      <c r="C136" s="64"/>
      <c r="D136" s="230" t="s">
        <v>959</v>
      </c>
      <c r="E136" s="64" t="s">
        <v>958</v>
      </c>
    </row>
    <row r="137" spans="1:5" s="98" customFormat="1" ht="15" customHeight="1" x14ac:dyDescent="0.2">
      <c r="A137" s="68"/>
      <c r="B137" s="68"/>
      <c r="C137" s="64"/>
      <c r="D137" s="230" t="s">
        <v>959</v>
      </c>
      <c r="E137" s="64" t="s">
        <v>958</v>
      </c>
    </row>
    <row r="138" spans="1:5" s="98" customFormat="1" ht="15" customHeight="1" x14ac:dyDescent="0.2">
      <c r="A138" s="68"/>
      <c r="B138" s="68"/>
      <c r="C138" s="64"/>
      <c r="D138" s="230" t="s">
        <v>959</v>
      </c>
      <c r="E138" s="64" t="s">
        <v>958</v>
      </c>
    </row>
    <row r="139" spans="1:5" s="98" customFormat="1" ht="15" customHeight="1" x14ac:dyDescent="0.2">
      <c r="A139" s="68"/>
      <c r="B139" s="68"/>
      <c r="C139" s="64"/>
      <c r="D139" s="230" t="s">
        <v>959</v>
      </c>
      <c r="E139" s="64" t="s">
        <v>958</v>
      </c>
    </row>
    <row r="140" spans="1:5" s="98" customFormat="1" ht="15" customHeight="1" x14ac:dyDescent="0.2">
      <c r="A140" s="68"/>
      <c r="B140" s="68"/>
      <c r="C140" s="64"/>
      <c r="D140" s="230" t="s">
        <v>959</v>
      </c>
      <c r="E140" s="64" t="s">
        <v>958</v>
      </c>
    </row>
    <row r="141" spans="1:5" s="98" customFormat="1" ht="15" customHeight="1" x14ac:dyDescent="0.2">
      <c r="A141" s="68"/>
      <c r="B141" s="68"/>
      <c r="C141" s="64"/>
      <c r="D141" s="230" t="s">
        <v>959</v>
      </c>
      <c r="E141" s="64" t="s">
        <v>958</v>
      </c>
    </row>
    <row r="142" spans="1:5" s="98" customFormat="1" ht="15" customHeight="1" x14ac:dyDescent="0.2">
      <c r="A142" s="68"/>
      <c r="B142" s="68"/>
      <c r="C142" s="64"/>
      <c r="D142" s="230" t="s">
        <v>959</v>
      </c>
      <c r="E142" s="64" t="s">
        <v>958</v>
      </c>
    </row>
    <row r="143" spans="1:5" s="98" customFormat="1" ht="15" customHeight="1" x14ac:dyDescent="0.2">
      <c r="A143" s="68"/>
      <c r="B143" s="68"/>
      <c r="C143" s="64"/>
      <c r="D143" s="230" t="s">
        <v>959</v>
      </c>
      <c r="E143" s="64" t="s">
        <v>958</v>
      </c>
    </row>
    <row r="144" spans="1:5" s="98" customFormat="1" ht="15" customHeight="1" x14ac:dyDescent="0.2">
      <c r="A144" s="68"/>
      <c r="B144" s="68"/>
      <c r="C144" s="64"/>
      <c r="D144" s="230" t="s">
        <v>959</v>
      </c>
      <c r="E144" s="64" t="s">
        <v>958</v>
      </c>
    </row>
    <row r="145" spans="1:5" s="98" customFormat="1" ht="15" customHeight="1" x14ac:dyDescent="0.2">
      <c r="A145" s="68"/>
      <c r="B145" s="68"/>
      <c r="C145" s="64"/>
      <c r="D145" s="230" t="s">
        <v>959</v>
      </c>
      <c r="E145" s="64" t="s">
        <v>958</v>
      </c>
    </row>
    <row r="146" spans="1:5" s="98" customFormat="1" ht="15" customHeight="1" x14ac:dyDescent="0.2">
      <c r="A146" s="68"/>
      <c r="B146" s="68"/>
      <c r="C146" s="64"/>
      <c r="D146" s="230" t="s">
        <v>959</v>
      </c>
      <c r="E146" s="64" t="s">
        <v>958</v>
      </c>
    </row>
    <row r="147" spans="1:5" s="98" customFormat="1" ht="15" customHeight="1" x14ac:dyDescent="0.2">
      <c r="A147" s="68"/>
      <c r="B147" s="68"/>
      <c r="C147" s="64"/>
      <c r="D147" s="230" t="s">
        <v>959</v>
      </c>
      <c r="E147" s="64" t="s">
        <v>958</v>
      </c>
    </row>
    <row r="148" spans="1:5" s="98" customFormat="1" ht="15" customHeight="1" x14ac:dyDescent="0.2">
      <c r="A148" s="68"/>
      <c r="B148" s="68"/>
      <c r="C148" s="64"/>
      <c r="D148" s="230" t="s">
        <v>959</v>
      </c>
      <c r="E148" s="64" t="s">
        <v>958</v>
      </c>
    </row>
    <row r="149" spans="1:5" s="98" customFormat="1" ht="15" customHeight="1" x14ac:dyDescent="0.2">
      <c r="A149" s="68"/>
      <c r="B149" s="68"/>
      <c r="C149" s="64"/>
      <c r="D149" s="230" t="s">
        <v>959</v>
      </c>
      <c r="E149" s="64" t="s">
        <v>958</v>
      </c>
    </row>
    <row r="150" spans="1:5" s="98" customFormat="1" ht="15" customHeight="1" x14ac:dyDescent="0.2">
      <c r="A150" s="68"/>
      <c r="B150" s="68"/>
      <c r="C150" s="64"/>
      <c r="D150" s="230" t="s">
        <v>959</v>
      </c>
      <c r="E150" s="64" t="s">
        <v>958</v>
      </c>
    </row>
    <row r="151" spans="1:5" s="98" customFormat="1" ht="15" customHeight="1" x14ac:dyDescent="0.2">
      <c r="A151" s="68"/>
      <c r="B151" s="68"/>
      <c r="C151" s="64"/>
      <c r="D151" s="230" t="s">
        <v>959</v>
      </c>
      <c r="E151" s="64" t="s">
        <v>958</v>
      </c>
    </row>
    <row r="152" spans="1:5" s="98" customFormat="1" ht="15" customHeight="1" x14ac:dyDescent="0.2">
      <c r="A152" s="68"/>
      <c r="B152" s="68"/>
      <c r="C152" s="64"/>
      <c r="D152" s="230" t="s">
        <v>959</v>
      </c>
      <c r="E152" s="64" t="s">
        <v>958</v>
      </c>
    </row>
    <row r="153" spans="1:5" s="98" customFormat="1" ht="15" customHeight="1" x14ac:dyDescent="0.2">
      <c r="A153" s="68"/>
      <c r="B153" s="68"/>
      <c r="C153" s="64"/>
      <c r="D153" s="230" t="s">
        <v>959</v>
      </c>
      <c r="E153" s="64" t="s">
        <v>958</v>
      </c>
    </row>
    <row r="154" spans="1:5" s="98" customFormat="1" ht="15" customHeight="1" x14ac:dyDescent="0.2">
      <c r="A154" s="68"/>
      <c r="B154" s="68"/>
      <c r="C154" s="64"/>
      <c r="D154" s="230" t="s">
        <v>959</v>
      </c>
      <c r="E154" s="64" t="s">
        <v>958</v>
      </c>
    </row>
    <row r="155" spans="1:5" s="98" customFormat="1" ht="15" customHeight="1" x14ac:dyDescent="0.2">
      <c r="A155" s="68"/>
      <c r="B155" s="68"/>
      <c r="C155" s="64"/>
      <c r="D155" s="230" t="s">
        <v>959</v>
      </c>
      <c r="E155" s="64" t="s">
        <v>958</v>
      </c>
    </row>
    <row r="156" spans="1:5" s="98" customFormat="1" ht="15" customHeight="1" x14ac:dyDescent="0.2">
      <c r="A156" s="68"/>
      <c r="B156" s="68"/>
      <c r="C156" s="64"/>
      <c r="D156" s="230" t="s">
        <v>959</v>
      </c>
      <c r="E156" s="64" t="s">
        <v>958</v>
      </c>
    </row>
    <row r="157" spans="1:5" s="98" customFormat="1" ht="15" customHeight="1" x14ac:dyDescent="0.2">
      <c r="A157" s="68"/>
      <c r="B157" s="68"/>
      <c r="C157" s="64"/>
      <c r="D157" s="230" t="s">
        <v>959</v>
      </c>
      <c r="E157" s="64" t="s">
        <v>958</v>
      </c>
    </row>
    <row r="158" spans="1:5" s="98" customFormat="1" ht="15" customHeight="1" x14ac:dyDescent="0.2">
      <c r="A158" s="68"/>
      <c r="B158" s="68"/>
      <c r="C158" s="64"/>
      <c r="D158" s="230" t="s">
        <v>959</v>
      </c>
      <c r="E158" s="64" t="s">
        <v>958</v>
      </c>
    </row>
    <row r="159" spans="1:5" s="98" customFormat="1" ht="15" customHeight="1" x14ac:dyDescent="0.2">
      <c r="A159" s="68"/>
      <c r="B159" s="68"/>
      <c r="C159" s="64"/>
      <c r="D159" s="230" t="s">
        <v>959</v>
      </c>
      <c r="E159" s="64" t="s">
        <v>958</v>
      </c>
    </row>
    <row r="160" spans="1:5" s="98" customFormat="1" ht="15" customHeight="1" x14ac:dyDescent="0.2">
      <c r="A160" s="68"/>
      <c r="B160" s="68"/>
      <c r="C160" s="64"/>
      <c r="D160" s="230" t="s">
        <v>959</v>
      </c>
      <c r="E160" s="64" t="s">
        <v>958</v>
      </c>
    </row>
    <row r="161" spans="1:5" s="98" customFormat="1" ht="15" customHeight="1" x14ac:dyDescent="0.2">
      <c r="A161" s="68"/>
      <c r="B161" s="68"/>
      <c r="C161" s="64"/>
      <c r="D161" s="230" t="s">
        <v>959</v>
      </c>
      <c r="E161" s="64" t="s">
        <v>958</v>
      </c>
    </row>
    <row r="162" spans="1:5" s="98" customFormat="1" ht="15" customHeight="1" x14ac:dyDescent="0.2">
      <c r="A162" s="68"/>
      <c r="B162" s="68"/>
      <c r="C162" s="64"/>
      <c r="D162" s="230" t="s">
        <v>959</v>
      </c>
      <c r="E162" s="64" t="s">
        <v>958</v>
      </c>
    </row>
    <row r="163" spans="1:5" s="98" customFormat="1" ht="15" customHeight="1" x14ac:dyDescent="0.2">
      <c r="A163" s="68"/>
      <c r="B163" s="68"/>
      <c r="C163" s="64"/>
      <c r="D163" s="230" t="s">
        <v>959</v>
      </c>
      <c r="E163" s="64" t="s">
        <v>958</v>
      </c>
    </row>
    <row r="164" spans="1:5" s="98" customFormat="1" ht="15" customHeight="1" x14ac:dyDescent="0.2">
      <c r="A164" s="68"/>
      <c r="B164" s="68"/>
      <c r="C164" s="64"/>
      <c r="D164" s="230" t="s">
        <v>959</v>
      </c>
      <c r="E164" s="64" t="s">
        <v>958</v>
      </c>
    </row>
    <row r="165" spans="1:5" s="98" customFormat="1" ht="15" customHeight="1" x14ac:dyDescent="0.2">
      <c r="A165" s="68"/>
      <c r="B165" s="68"/>
      <c r="C165" s="64"/>
      <c r="D165" s="230" t="s">
        <v>959</v>
      </c>
      <c r="E165" s="64" t="s">
        <v>958</v>
      </c>
    </row>
    <row r="166" spans="1:5" s="98" customFormat="1" ht="15" customHeight="1" x14ac:dyDescent="0.2">
      <c r="A166" s="68"/>
      <c r="B166" s="68"/>
      <c r="C166" s="64"/>
      <c r="D166" s="230" t="s">
        <v>959</v>
      </c>
      <c r="E166" s="64" t="s">
        <v>958</v>
      </c>
    </row>
    <row r="167" spans="1:5" s="98" customFormat="1" ht="15" customHeight="1" x14ac:dyDescent="0.2">
      <c r="A167" s="68"/>
      <c r="B167" s="68"/>
      <c r="C167" s="64"/>
      <c r="D167" s="230" t="s">
        <v>959</v>
      </c>
      <c r="E167" s="64" t="s">
        <v>958</v>
      </c>
    </row>
    <row r="168" spans="1:5" s="98" customFormat="1" ht="15" customHeight="1" x14ac:dyDescent="0.2">
      <c r="A168" s="68"/>
      <c r="B168" s="68"/>
      <c r="C168" s="64"/>
      <c r="D168" s="230" t="s">
        <v>959</v>
      </c>
      <c r="E168" s="64" t="s">
        <v>958</v>
      </c>
    </row>
    <row r="169" spans="1:5" s="98" customFormat="1" ht="15" customHeight="1" x14ac:dyDescent="0.2">
      <c r="A169" s="68"/>
      <c r="B169" s="68"/>
      <c r="C169" s="64"/>
      <c r="D169" s="230" t="s">
        <v>959</v>
      </c>
      <c r="E169" s="64" t="s">
        <v>958</v>
      </c>
    </row>
    <row r="170" spans="1:5" s="98" customFormat="1" ht="15" customHeight="1" x14ac:dyDescent="0.2">
      <c r="A170" s="68"/>
      <c r="B170" s="68"/>
      <c r="C170" s="64"/>
      <c r="D170" s="230" t="s">
        <v>959</v>
      </c>
      <c r="E170" s="64" t="s">
        <v>958</v>
      </c>
    </row>
    <row r="171" spans="1:5" s="98" customFormat="1" ht="15" customHeight="1" x14ac:dyDescent="0.2">
      <c r="A171" s="68"/>
      <c r="B171" s="68"/>
      <c r="C171" s="64"/>
      <c r="D171" s="230" t="s">
        <v>959</v>
      </c>
      <c r="E171" s="64" t="s">
        <v>958</v>
      </c>
    </row>
    <row r="172" spans="1:5" s="98" customFormat="1" ht="15" customHeight="1" x14ac:dyDescent="0.2">
      <c r="A172" s="68"/>
      <c r="B172" s="68"/>
      <c r="C172" s="64"/>
      <c r="D172" s="230" t="s">
        <v>959</v>
      </c>
      <c r="E172" s="64" t="s">
        <v>958</v>
      </c>
    </row>
    <row r="173" spans="1:5" s="98" customFormat="1" ht="15" customHeight="1" x14ac:dyDescent="0.2">
      <c r="A173" s="68"/>
      <c r="B173" s="68"/>
      <c r="C173" s="64"/>
      <c r="D173" s="230" t="s">
        <v>959</v>
      </c>
      <c r="E173" s="64" t="s">
        <v>958</v>
      </c>
    </row>
    <row r="174" spans="1:5" s="98" customFormat="1" ht="15" customHeight="1" x14ac:dyDescent="0.2">
      <c r="A174" s="68"/>
      <c r="B174" s="68"/>
      <c r="C174" s="64"/>
      <c r="D174" s="230" t="s">
        <v>959</v>
      </c>
      <c r="E174" s="64" t="s">
        <v>958</v>
      </c>
    </row>
    <row r="175" spans="1:5" s="98" customFormat="1" ht="15" customHeight="1" x14ac:dyDescent="0.2">
      <c r="A175" s="68"/>
      <c r="B175" s="68"/>
      <c r="C175" s="64"/>
      <c r="D175" s="230" t="s">
        <v>959</v>
      </c>
      <c r="E175" s="64" t="s">
        <v>958</v>
      </c>
    </row>
    <row r="176" spans="1:5" s="98" customFormat="1" ht="15" customHeight="1" x14ac:dyDescent="0.2">
      <c r="A176" s="68"/>
      <c r="B176" s="68"/>
      <c r="C176" s="64"/>
      <c r="D176" s="230" t="s">
        <v>959</v>
      </c>
      <c r="E176" s="64" t="s">
        <v>958</v>
      </c>
    </row>
    <row r="177" spans="1:5" s="98" customFormat="1" ht="15" customHeight="1" x14ac:dyDescent="0.2">
      <c r="A177" s="68"/>
      <c r="B177" s="68"/>
      <c r="C177" s="64"/>
      <c r="D177" s="230" t="s">
        <v>959</v>
      </c>
      <c r="E177" s="64" t="s">
        <v>958</v>
      </c>
    </row>
    <row r="178" spans="1:5" s="98" customFormat="1" ht="15" customHeight="1" x14ac:dyDescent="0.2">
      <c r="A178" s="68"/>
      <c r="B178" s="68"/>
      <c r="C178" s="64"/>
      <c r="D178" s="230" t="s">
        <v>959</v>
      </c>
      <c r="E178" s="64" t="s">
        <v>958</v>
      </c>
    </row>
    <row r="179" spans="1:5" s="98" customFormat="1" ht="15" customHeight="1" x14ac:dyDescent="0.2">
      <c r="A179" s="68"/>
      <c r="B179" s="68"/>
      <c r="C179" s="64"/>
      <c r="D179" s="230" t="s">
        <v>959</v>
      </c>
      <c r="E179" s="64" t="s">
        <v>958</v>
      </c>
    </row>
    <row r="180" spans="1:5" s="98" customFormat="1" ht="15" customHeight="1" x14ac:dyDescent="0.2">
      <c r="A180" s="68"/>
      <c r="B180" s="68"/>
      <c r="C180" s="64"/>
      <c r="D180" s="230" t="s">
        <v>959</v>
      </c>
      <c r="E180" s="64" t="s">
        <v>958</v>
      </c>
    </row>
    <row r="181" spans="1:5" s="98" customFormat="1" ht="15" customHeight="1" x14ac:dyDescent="0.2">
      <c r="A181" s="68"/>
      <c r="B181" s="68"/>
      <c r="C181" s="64"/>
      <c r="D181" s="230" t="s">
        <v>959</v>
      </c>
      <c r="E181" s="64" t="s">
        <v>958</v>
      </c>
    </row>
    <row r="182" spans="1:5" s="98" customFormat="1" ht="15" customHeight="1" x14ac:dyDescent="0.2">
      <c r="A182" s="68"/>
      <c r="B182" s="68"/>
      <c r="C182" s="64"/>
      <c r="D182" s="230" t="s">
        <v>959</v>
      </c>
      <c r="E182" s="64" t="s">
        <v>958</v>
      </c>
    </row>
    <row r="183" spans="1:5" s="98" customFormat="1" ht="15" customHeight="1" x14ac:dyDescent="0.2">
      <c r="A183" s="68"/>
      <c r="B183" s="68"/>
      <c r="C183" s="64"/>
      <c r="D183" s="230" t="s">
        <v>959</v>
      </c>
      <c r="E183" s="64" t="s">
        <v>958</v>
      </c>
    </row>
    <row r="184" spans="1:5" s="98" customFormat="1" ht="15" customHeight="1" x14ac:dyDescent="0.2">
      <c r="A184" s="68"/>
      <c r="B184" s="68"/>
      <c r="C184" s="64"/>
      <c r="D184" s="230" t="s">
        <v>959</v>
      </c>
      <c r="E184" s="64" t="s">
        <v>958</v>
      </c>
    </row>
    <row r="185" spans="1:5" s="98" customFormat="1" ht="15" customHeight="1" x14ac:dyDescent="0.2">
      <c r="A185" s="68"/>
      <c r="B185" s="68"/>
      <c r="C185" s="64"/>
      <c r="D185" s="230" t="s">
        <v>959</v>
      </c>
      <c r="E185" s="64" t="s">
        <v>958</v>
      </c>
    </row>
    <row r="186" spans="1:5" s="98" customFormat="1" ht="15" customHeight="1" x14ac:dyDescent="0.2">
      <c r="A186" s="68"/>
      <c r="B186" s="68"/>
      <c r="C186" s="64"/>
      <c r="D186" s="230" t="s">
        <v>959</v>
      </c>
      <c r="E186" s="64" t="s">
        <v>958</v>
      </c>
    </row>
    <row r="187" spans="1:5" s="98" customFormat="1" ht="15" customHeight="1" x14ac:dyDescent="0.2">
      <c r="A187" s="68"/>
      <c r="B187" s="68"/>
      <c r="C187" s="64"/>
      <c r="D187" s="230" t="s">
        <v>959</v>
      </c>
      <c r="E187" s="64" t="s">
        <v>958</v>
      </c>
    </row>
    <row r="188" spans="1:5" s="98" customFormat="1" ht="15" customHeight="1" x14ac:dyDescent="0.2">
      <c r="A188" s="68"/>
      <c r="B188" s="68"/>
      <c r="C188" s="64"/>
      <c r="D188" s="230" t="s">
        <v>959</v>
      </c>
      <c r="E188" s="64" t="s">
        <v>958</v>
      </c>
    </row>
    <row r="189" spans="1:5" s="98" customFormat="1" ht="15" customHeight="1" x14ac:dyDescent="0.2">
      <c r="A189" s="68"/>
      <c r="B189" s="68"/>
      <c r="C189" s="64"/>
      <c r="D189" s="230" t="s">
        <v>959</v>
      </c>
      <c r="E189" s="64" t="s">
        <v>958</v>
      </c>
    </row>
    <row r="190" spans="1:5" s="98" customFormat="1" ht="15" customHeight="1" x14ac:dyDescent="0.2">
      <c r="A190" s="68"/>
      <c r="B190" s="68"/>
      <c r="C190" s="64"/>
      <c r="D190" s="230" t="s">
        <v>959</v>
      </c>
      <c r="E190" s="64" t="s">
        <v>958</v>
      </c>
    </row>
    <row r="191" spans="1:5" s="98" customFormat="1" ht="15" customHeight="1" x14ac:dyDescent="0.2">
      <c r="A191" s="68"/>
      <c r="B191" s="68"/>
      <c r="C191" s="64"/>
      <c r="D191" s="230" t="s">
        <v>959</v>
      </c>
      <c r="E191" s="64" t="s">
        <v>958</v>
      </c>
    </row>
    <row r="192" spans="1:5" s="98" customFormat="1" ht="15" customHeight="1" x14ac:dyDescent="0.2">
      <c r="A192" s="68"/>
      <c r="B192" s="68"/>
      <c r="C192" s="64"/>
      <c r="D192" s="230" t="s">
        <v>959</v>
      </c>
      <c r="E192" s="64" t="s">
        <v>958</v>
      </c>
    </row>
    <row r="193" spans="1:5" s="98" customFormat="1" ht="15" customHeight="1" x14ac:dyDescent="0.2">
      <c r="A193" s="68"/>
      <c r="B193" s="68"/>
      <c r="C193" s="64"/>
      <c r="D193" s="230" t="s">
        <v>959</v>
      </c>
      <c r="E193" s="64" t="s">
        <v>958</v>
      </c>
    </row>
    <row r="194" spans="1:5" s="98" customFormat="1" ht="15" customHeight="1" x14ac:dyDescent="0.2">
      <c r="A194" s="68"/>
      <c r="B194" s="68"/>
      <c r="C194" s="64"/>
      <c r="D194" s="230" t="s">
        <v>959</v>
      </c>
      <c r="E194" s="64" t="s">
        <v>958</v>
      </c>
    </row>
    <row r="195" spans="1:5" s="98" customFormat="1" ht="15" customHeight="1" x14ac:dyDescent="0.2">
      <c r="A195" s="68"/>
      <c r="B195" s="68"/>
      <c r="C195" s="64"/>
      <c r="D195" s="230" t="s">
        <v>959</v>
      </c>
      <c r="E195" s="64" t="s">
        <v>958</v>
      </c>
    </row>
    <row r="196" spans="1:5" s="98" customFormat="1" ht="15" customHeight="1" x14ac:dyDescent="0.2">
      <c r="A196" s="68"/>
      <c r="B196" s="68"/>
      <c r="C196" s="64"/>
      <c r="D196" s="230" t="s">
        <v>959</v>
      </c>
      <c r="E196" s="64" t="s">
        <v>958</v>
      </c>
    </row>
    <row r="197" spans="1:5" s="98" customFormat="1" ht="15" customHeight="1" x14ac:dyDescent="0.2">
      <c r="A197" s="68"/>
      <c r="B197" s="68"/>
      <c r="C197" s="64"/>
      <c r="D197" s="230" t="s">
        <v>959</v>
      </c>
      <c r="E197" s="64" t="s">
        <v>958</v>
      </c>
    </row>
    <row r="198" spans="1:5" s="98" customFormat="1" ht="15" customHeight="1" x14ac:dyDescent="0.2">
      <c r="A198" s="68"/>
      <c r="B198" s="68"/>
      <c r="C198" s="64"/>
      <c r="D198" s="230" t="s">
        <v>959</v>
      </c>
      <c r="E198" s="64" t="s">
        <v>958</v>
      </c>
    </row>
    <row r="199" spans="1:5" s="98" customFormat="1" ht="15" customHeight="1" x14ac:dyDescent="0.2">
      <c r="A199" s="68"/>
      <c r="B199" s="68"/>
      <c r="C199" s="64"/>
      <c r="D199" s="230" t="s">
        <v>959</v>
      </c>
      <c r="E199" s="64" t="s">
        <v>958</v>
      </c>
    </row>
    <row r="200" spans="1:5" s="98" customFormat="1" ht="15" customHeight="1" x14ac:dyDescent="0.2">
      <c r="A200" s="68"/>
      <c r="B200" s="68"/>
      <c r="C200" s="64"/>
      <c r="D200" s="230" t="s">
        <v>959</v>
      </c>
      <c r="E200" s="64" t="s">
        <v>958</v>
      </c>
    </row>
    <row r="201" spans="1:5" s="98" customFormat="1" ht="15" customHeight="1" x14ac:dyDescent="0.2">
      <c r="A201" s="68"/>
      <c r="B201" s="68"/>
      <c r="C201" s="64"/>
      <c r="D201" s="230" t="s">
        <v>959</v>
      </c>
      <c r="E201" s="64" t="s">
        <v>958</v>
      </c>
    </row>
    <row r="202" spans="1:5" s="98" customFormat="1" ht="15" customHeight="1" x14ac:dyDescent="0.2">
      <c r="A202" s="68"/>
      <c r="B202" s="68"/>
      <c r="C202" s="64"/>
      <c r="D202" s="230" t="s">
        <v>959</v>
      </c>
      <c r="E202" s="64" t="s">
        <v>958</v>
      </c>
    </row>
    <row r="203" spans="1:5" s="98" customFormat="1" ht="15" customHeight="1" x14ac:dyDescent="0.2">
      <c r="A203" s="68"/>
      <c r="B203" s="68"/>
      <c r="C203" s="64"/>
      <c r="D203" s="230" t="s">
        <v>959</v>
      </c>
      <c r="E203" s="64" t="s">
        <v>958</v>
      </c>
    </row>
    <row r="204" spans="1:5" s="98" customFormat="1" ht="15" customHeight="1" x14ac:dyDescent="0.2">
      <c r="A204" s="68"/>
      <c r="B204" s="68"/>
      <c r="C204" s="64"/>
      <c r="D204" s="230" t="s">
        <v>959</v>
      </c>
      <c r="E204" s="64" t="s">
        <v>958</v>
      </c>
    </row>
    <row r="205" spans="1:5" s="98" customFormat="1" ht="15" customHeight="1" x14ac:dyDescent="0.2">
      <c r="A205" s="68"/>
      <c r="B205" s="68"/>
      <c r="C205" s="64"/>
      <c r="D205" s="230" t="s">
        <v>959</v>
      </c>
      <c r="E205" s="64" t="s">
        <v>958</v>
      </c>
    </row>
    <row r="206" spans="1:5" s="98" customFormat="1" ht="15" customHeight="1" x14ac:dyDescent="0.2">
      <c r="A206" s="68"/>
      <c r="B206" s="68"/>
      <c r="C206" s="64"/>
      <c r="D206" s="230" t="s">
        <v>959</v>
      </c>
      <c r="E206" s="64" t="s">
        <v>958</v>
      </c>
    </row>
    <row r="207" spans="1:5" s="98" customFormat="1" ht="15" customHeight="1" x14ac:dyDescent="0.2">
      <c r="A207" s="68"/>
      <c r="B207" s="68"/>
      <c r="C207" s="64"/>
      <c r="D207" s="230" t="s">
        <v>959</v>
      </c>
      <c r="E207" s="64" t="s">
        <v>958</v>
      </c>
    </row>
    <row r="208" spans="1:5" s="98" customFormat="1" ht="15" customHeight="1" x14ac:dyDescent="0.2">
      <c r="A208" s="68"/>
      <c r="B208" s="68"/>
      <c r="C208" s="64"/>
      <c r="D208" s="230" t="s">
        <v>959</v>
      </c>
      <c r="E208" s="64" t="s">
        <v>958</v>
      </c>
    </row>
    <row r="209" spans="1:5" s="98" customFormat="1" ht="15" customHeight="1" x14ac:dyDescent="0.2">
      <c r="A209" s="68"/>
      <c r="B209" s="68"/>
      <c r="C209" s="64"/>
      <c r="D209" s="230" t="s">
        <v>959</v>
      </c>
      <c r="E209" s="64" t="s">
        <v>958</v>
      </c>
    </row>
    <row r="210" spans="1:5" s="98" customFormat="1" ht="15" customHeight="1" x14ac:dyDescent="0.2">
      <c r="A210" s="68"/>
      <c r="B210" s="68"/>
      <c r="C210" s="64"/>
      <c r="D210" s="230" t="s">
        <v>959</v>
      </c>
      <c r="E210" s="64" t="s">
        <v>958</v>
      </c>
    </row>
    <row r="211" spans="1:5" s="98" customFormat="1" ht="15" customHeight="1" x14ac:dyDescent="0.2">
      <c r="A211" s="68"/>
      <c r="B211" s="68"/>
      <c r="C211" s="64"/>
      <c r="D211" s="230" t="s">
        <v>959</v>
      </c>
      <c r="E211" s="64" t="s">
        <v>958</v>
      </c>
    </row>
    <row r="212" spans="1:5" s="98" customFormat="1" ht="15" customHeight="1" x14ac:dyDescent="0.2">
      <c r="A212" s="68"/>
      <c r="B212" s="68"/>
      <c r="C212" s="64"/>
      <c r="D212" s="230" t="s">
        <v>959</v>
      </c>
      <c r="E212" s="64" t="s">
        <v>958</v>
      </c>
    </row>
    <row r="213" spans="1:5" s="98" customFormat="1" ht="15" customHeight="1" x14ac:dyDescent="0.2">
      <c r="A213" s="68"/>
      <c r="B213" s="68"/>
      <c r="C213" s="64"/>
      <c r="D213" s="230" t="s">
        <v>959</v>
      </c>
      <c r="E213" s="64" t="s">
        <v>958</v>
      </c>
    </row>
    <row r="214" spans="1:5" s="98" customFormat="1" ht="15" customHeight="1" x14ac:dyDescent="0.2">
      <c r="A214" s="68"/>
      <c r="B214" s="68"/>
      <c r="C214" s="64"/>
      <c r="D214" s="230" t="s">
        <v>959</v>
      </c>
      <c r="E214" s="64" t="s">
        <v>958</v>
      </c>
    </row>
    <row r="215" spans="1:5" s="98" customFormat="1" ht="15" customHeight="1" x14ac:dyDescent="0.2">
      <c r="A215" s="68"/>
      <c r="B215" s="68"/>
      <c r="C215" s="64"/>
      <c r="D215" s="230" t="s">
        <v>959</v>
      </c>
      <c r="E215" s="64" t="s">
        <v>958</v>
      </c>
    </row>
    <row r="216" spans="1:5" s="98" customFormat="1" ht="15" customHeight="1" x14ac:dyDescent="0.2">
      <c r="A216" s="68"/>
      <c r="B216" s="68"/>
      <c r="C216" s="64"/>
      <c r="D216" s="230" t="s">
        <v>959</v>
      </c>
      <c r="E216" s="64" t="s">
        <v>958</v>
      </c>
    </row>
    <row r="217" spans="1:5" s="98" customFormat="1" ht="15" customHeight="1" x14ac:dyDescent="0.2">
      <c r="A217" s="68"/>
      <c r="B217" s="68"/>
      <c r="C217" s="64"/>
      <c r="D217" s="230" t="s">
        <v>959</v>
      </c>
      <c r="E217" s="64" t="s">
        <v>958</v>
      </c>
    </row>
    <row r="218" spans="1:5" s="98" customFormat="1" ht="15" customHeight="1" x14ac:dyDescent="0.2">
      <c r="A218" s="68"/>
      <c r="B218" s="68"/>
      <c r="C218" s="64"/>
      <c r="D218" s="230" t="s">
        <v>959</v>
      </c>
      <c r="E218" s="64" t="s">
        <v>958</v>
      </c>
    </row>
    <row r="219" spans="1:5" s="98" customFormat="1" ht="15" customHeight="1" x14ac:dyDescent="0.2">
      <c r="A219" s="68"/>
      <c r="B219" s="68"/>
      <c r="C219" s="64"/>
      <c r="D219" s="230" t="s">
        <v>959</v>
      </c>
      <c r="E219" s="64" t="s">
        <v>958</v>
      </c>
    </row>
    <row r="220" spans="1:5" s="98" customFormat="1" ht="15" customHeight="1" x14ac:dyDescent="0.2">
      <c r="A220" s="68"/>
      <c r="B220" s="68"/>
      <c r="C220" s="64"/>
      <c r="D220" s="230" t="s">
        <v>959</v>
      </c>
      <c r="E220" s="64" t="s">
        <v>958</v>
      </c>
    </row>
    <row r="221" spans="1:5" s="98" customFormat="1" ht="15" customHeight="1" x14ac:dyDescent="0.2">
      <c r="A221" s="68"/>
      <c r="B221" s="68"/>
      <c r="C221" s="64"/>
      <c r="D221" s="230" t="s">
        <v>959</v>
      </c>
      <c r="E221" s="64" t="s">
        <v>958</v>
      </c>
    </row>
    <row r="222" spans="1:5" s="98" customFormat="1" ht="15" customHeight="1" x14ac:dyDescent="0.2">
      <c r="A222" s="68"/>
      <c r="B222" s="68"/>
      <c r="C222" s="64"/>
      <c r="D222" s="230" t="s">
        <v>959</v>
      </c>
      <c r="E222" s="64" t="s">
        <v>958</v>
      </c>
    </row>
    <row r="223" spans="1:5" s="98" customFormat="1" ht="15" customHeight="1" x14ac:dyDescent="0.2">
      <c r="A223" s="68"/>
      <c r="B223" s="68"/>
      <c r="C223" s="64"/>
      <c r="D223" s="230" t="s">
        <v>959</v>
      </c>
      <c r="E223" s="64" t="s">
        <v>958</v>
      </c>
    </row>
    <row r="224" spans="1:5" s="98" customFormat="1" ht="15" customHeight="1" x14ac:dyDescent="0.2">
      <c r="A224" s="68"/>
      <c r="B224" s="68"/>
      <c r="C224" s="64"/>
      <c r="D224" s="230" t="s">
        <v>959</v>
      </c>
      <c r="E224" s="64" t="s">
        <v>958</v>
      </c>
    </row>
    <row r="225" spans="1:5" s="98" customFormat="1" ht="15" customHeight="1" x14ac:dyDescent="0.2">
      <c r="A225" s="68"/>
      <c r="B225" s="68"/>
      <c r="C225" s="64"/>
      <c r="D225" s="230" t="s">
        <v>959</v>
      </c>
      <c r="E225" s="64" t="s">
        <v>958</v>
      </c>
    </row>
    <row r="226" spans="1:5" s="98" customFormat="1" ht="15" customHeight="1" x14ac:dyDescent="0.2">
      <c r="A226" s="68"/>
      <c r="B226" s="68"/>
      <c r="C226" s="64"/>
      <c r="D226" s="230" t="s">
        <v>959</v>
      </c>
      <c r="E226" s="64" t="s">
        <v>958</v>
      </c>
    </row>
    <row r="227" spans="1:5" s="98" customFormat="1" ht="15" customHeight="1" x14ac:dyDescent="0.2">
      <c r="A227" s="68"/>
      <c r="B227" s="68"/>
      <c r="C227" s="64"/>
      <c r="D227" s="230" t="s">
        <v>959</v>
      </c>
      <c r="E227" s="64" t="s">
        <v>958</v>
      </c>
    </row>
    <row r="228" spans="1:5" s="98" customFormat="1" ht="15" customHeight="1" x14ac:dyDescent="0.2">
      <c r="A228" s="68"/>
      <c r="B228" s="68"/>
      <c r="C228" s="64"/>
      <c r="D228" s="230" t="s">
        <v>959</v>
      </c>
      <c r="E228" s="64" t="s">
        <v>958</v>
      </c>
    </row>
    <row r="229" spans="1:5" s="98" customFormat="1" ht="15" customHeight="1" x14ac:dyDescent="0.2">
      <c r="A229" s="68"/>
      <c r="B229" s="68"/>
      <c r="C229" s="64"/>
      <c r="D229" s="230" t="s">
        <v>959</v>
      </c>
      <c r="E229" s="64" t="s">
        <v>958</v>
      </c>
    </row>
    <row r="230" spans="1:5" s="98" customFormat="1" ht="15" customHeight="1" x14ac:dyDescent="0.2">
      <c r="A230" s="68"/>
      <c r="B230" s="68"/>
      <c r="C230" s="64"/>
      <c r="D230" s="230" t="s">
        <v>959</v>
      </c>
      <c r="E230" s="64" t="s">
        <v>958</v>
      </c>
    </row>
    <row r="231" spans="1:5" s="98" customFormat="1" ht="15" customHeight="1" x14ac:dyDescent="0.2">
      <c r="A231" s="68"/>
      <c r="B231" s="68"/>
      <c r="C231" s="64"/>
      <c r="D231" s="230" t="s">
        <v>959</v>
      </c>
      <c r="E231" s="64" t="s">
        <v>958</v>
      </c>
    </row>
    <row r="232" spans="1:5" s="98" customFormat="1" ht="15" customHeight="1" x14ac:dyDescent="0.2">
      <c r="A232" s="68"/>
      <c r="B232" s="68"/>
      <c r="C232" s="64"/>
      <c r="D232" s="230" t="s">
        <v>959</v>
      </c>
      <c r="E232" s="64" t="s">
        <v>958</v>
      </c>
    </row>
    <row r="233" spans="1:5" s="98" customFormat="1" ht="15" customHeight="1" x14ac:dyDescent="0.2">
      <c r="A233" s="68"/>
      <c r="B233" s="68"/>
      <c r="C233" s="64"/>
      <c r="D233" s="230" t="s">
        <v>959</v>
      </c>
      <c r="E233" s="64" t="s">
        <v>958</v>
      </c>
    </row>
    <row r="234" spans="1:5" s="98" customFormat="1" ht="15" customHeight="1" x14ac:dyDescent="0.2">
      <c r="A234" s="68"/>
      <c r="B234" s="68"/>
      <c r="C234" s="64"/>
      <c r="D234" s="230" t="s">
        <v>959</v>
      </c>
      <c r="E234" s="64" t="s">
        <v>958</v>
      </c>
    </row>
    <row r="235" spans="1:5" s="98" customFormat="1" ht="15" customHeight="1" x14ac:dyDescent="0.2">
      <c r="A235" s="68"/>
      <c r="B235" s="68"/>
      <c r="C235" s="64"/>
      <c r="D235" s="230" t="s">
        <v>959</v>
      </c>
      <c r="E235" s="64" t="s">
        <v>958</v>
      </c>
    </row>
    <row r="236" spans="1:5" s="98" customFormat="1" ht="15" customHeight="1" x14ac:dyDescent="0.2">
      <c r="A236" s="68"/>
      <c r="B236" s="68"/>
      <c r="C236" s="64"/>
      <c r="D236" s="230" t="s">
        <v>959</v>
      </c>
      <c r="E236" s="64" t="s">
        <v>958</v>
      </c>
    </row>
    <row r="237" spans="1:5" s="98" customFormat="1" ht="15" customHeight="1" x14ac:dyDescent="0.2">
      <c r="A237" s="68"/>
      <c r="B237" s="68"/>
      <c r="C237" s="64"/>
      <c r="D237" s="230" t="s">
        <v>959</v>
      </c>
      <c r="E237" s="64" t="s">
        <v>958</v>
      </c>
    </row>
    <row r="238" spans="1:5" s="98" customFormat="1" ht="15" customHeight="1" x14ac:dyDescent="0.2">
      <c r="A238" s="68"/>
      <c r="B238" s="68"/>
      <c r="C238" s="64"/>
      <c r="D238" s="230" t="s">
        <v>959</v>
      </c>
      <c r="E238" s="64" t="s">
        <v>958</v>
      </c>
    </row>
    <row r="239" spans="1:5" s="98" customFormat="1" ht="15" customHeight="1" x14ac:dyDescent="0.2">
      <c r="A239" s="68"/>
      <c r="B239" s="68"/>
      <c r="C239" s="64"/>
      <c r="D239" s="230" t="s">
        <v>959</v>
      </c>
      <c r="E239" s="64" t="s">
        <v>958</v>
      </c>
    </row>
    <row r="240" spans="1:5" s="98" customFormat="1" ht="15" customHeight="1" x14ac:dyDescent="0.2">
      <c r="A240" s="68"/>
      <c r="B240" s="68"/>
      <c r="C240" s="64"/>
      <c r="D240" s="230" t="s">
        <v>959</v>
      </c>
      <c r="E240" s="64" t="s">
        <v>958</v>
      </c>
    </row>
    <row r="241" spans="1:5" s="98" customFormat="1" ht="15" customHeight="1" x14ac:dyDescent="0.2">
      <c r="A241" s="68"/>
      <c r="B241" s="68"/>
      <c r="C241" s="64"/>
      <c r="D241" s="230" t="s">
        <v>959</v>
      </c>
      <c r="E241" s="64" t="s">
        <v>958</v>
      </c>
    </row>
    <row r="242" spans="1:5" s="98" customFormat="1" ht="15" customHeight="1" x14ac:dyDescent="0.2">
      <c r="A242" s="68"/>
      <c r="B242" s="68"/>
      <c r="C242" s="64"/>
      <c r="D242" s="230" t="s">
        <v>959</v>
      </c>
      <c r="E242" s="64" t="s">
        <v>958</v>
      </c>
    </row>
    <row r="243" spans="1:5" s="98" customFormat="1" ht="15" customHeight="1" x14ac:dyDescent="0.2">
      <c r="A243" s="68"/>
      <c r="B243" s="68"/>
      <c r="C243" s="64"/>
      <c r="D243" s="230" t="s">
        <v>959</v>
      </c>
      <c r="E243" s="64" t="s">
        <v>958</v>
      </c>
    </row>
    <row r="244" spans="1:5" s="98" customFormat="1" ht="15" customHeight="1" x14ac:dyDescent="0.2">
      <c r="A244" s="68"/>
      <c r="B244" s="68"/>
      <c r="C244" s="64"/>
      <c r="D244" s="230" t="s">
        <v>959</v>
      </c>
      <c r="E244" s="64" t="s">
        <v>958</v>
      </c>
    </row>
    <row r="245" spans="1:5" s="98" customFormat="1" ht="15" customHeight="1" x14ac:dyDescent="0.2">
      <c r="A245" s="68"/>
      <c r="B245" s="68"/>
      <c r="C245" s="64"/>
      <c r="D245" s="230" t="s">
        <v>959</v>
      </c>
      <c r="E245" s="64" t="s">
        <v>958</v>
      </c>
    </row>
    <row r="246" spans="1:5" s="98" customFormat="1" ht="15" customHeight="1" x14ac:dyDescent="0.2">
      <c r="A246" s="68"/>
      <c r="B246" s="68"/>
      <c r="C246" s="64"/>
      <c r="D246" s="230" t="s">
        <v>959</v>
      </c>
      <c r="E246" s="64" t="s">
        <v>958</v>
      </c>
    </row>
    <row r="247" spans="1:5" s="98" customFormat="1" ht="15" customHeight="1" x14ac:dyDescent="0.2">
      <c r="A247" s="68"/>
      <c r="B247" s="68"/>
      <c r="C247" s="64"/>
      <c r="D247" s="230" t="s">
        <v>959</v>
      </c>
      <c r="E247" s="64" t="s">
        <v>958</v>
      </c>
    </row>
    <row r="248" spans="1:5" s="98" customFormat="1" ht="15" customHeight="1" x14ac:dyDescent="0.2">
      <c r="A248" s="68"/>
      <c r="B248" s="68"/>
      <c r="C248" s="64"/>
      <c r="D248" s="230" t="s">
        <v>959</v>
      </c>
      <c r="E248" s="64" t="s">
        <v>958</v>
      </c>
    </row>
    <row r="249" spans="1:5" s="98" customFormat="1" ht="15" customHeight="1" x14ac:dyDescent="0.2">
      <c r="A249" s="68"/>
      <c r="B249" s="68"/>
      <c r="C249" s="64"/>
      <c r="D249" s="230" t="s">
        <v>959</v>
      </c>
      <c r="E249" s="64" t="s">
        <v>958</v>
      </c>
    </row>
    <row r="250" spans="1:5" s="98" customFormat="1" ht="15" customHeight="1" x14ac:dyDescent="0.2">
      <c r="A250" s="68"/>
      <c r="B250" s="68"/>
      <c r="C250" s="64"/>
      <c r="D250" s="230" t="s">
        <v>959</v>
      </c>
      <c r="E250" s="64" t="s">
        <v>958</v>
      </c>
    </row>
    <row r="251" spans="1:5" s="98" customFormat="1" ht="15" customHeight="1" x14ac:dyDescent="0.2">
      <c r="A251" s="68"/>
      <c r="B251" s="68"/>
      <c r="C251" s="64"/>
      <c r="D251" s="230" t="s">
        <v>959</v>
      </c>
      <c r="E251" s="64" t="s">
        <v>958</v>
      </c>
    </row>
    <row r="252" spans="1:5" s="98" customFormat="1" ht="15" customHeight="1" x14ac:dyDescent="0.2">
      <c r="A252" s="68"/>
      <c r="B252" s="68"/>
      <c r="C252" s="64"/>
      <c r="D252" s="230" t="s">
        <v>959</v>
      </c>
      <c r="E252" s="64" t="s">
        <v>958</v>
      </c>
    </row>
    <row r="253" spans="1:5" s="98" customFormat="1" ht="15" customHeight="1" x14ac:dyDescent="0.2">
      <c r="A253" s="68"/>
      <c r="B253" s="68"/>
      <c r="C253" s="64"/>
      <c r="D253" s="230" t="s">
        <v>959</v>
      </c>
      <c r="E253" s="64" t="s">
        <v>958</v>
      </c>
    </row>
    <row r="254" spans="1:5" s="98" customFormat="1" ht="15" customHeight="1" x14ac:dyDescent="0.2">
      <c r="A254" s="68"/>
      <c r="B254" s="68"/>
      <c r="C254" s="64"/>
      <c r="D254" s="230" t="s">
        <v>959</v>
      </c>
      <c r="E254" s="64" t="s">
        <v>958</v>
      </c>
    </row>
    <row r="255" spans="1:5" s="98" customFormat="1" ht="15" customHeight="1" x14ac:dyDescent="0.2">
      <c r="A255" s="68"/>
      <c r="B255" s="68"/>
      <c r="C255" s="64"/>
      <c r="D255" s="230" t="s">
        <v>959</v>
      </c>
      <c r="E255" s="64" t="s">
        <v>958</v>
      </c>
    </row>
    <row r="256" spans="1:5" s="98" customFormat="1" ht="15" customHeight="1" x14ac:dyDescent="0.2">
      <c r="A256" s="68"/>
      <c r="B256" s="68"/>
      <c r="C256" s="64"/>
      <c r="D256" s="230" t="s">
        <v>959</v>
      </c>
      <c r="E256" s="64" t="s">
        <v>958</v>
      </c>
    </row>
    <row r="257" spans="1:5" s="98" customFormat="1" ht="15" customHeight="1" x14ac:dyDescent="0.2">
      <c r="A257" s="68"/>
      <c r="B257" s="68"/>
      <c r="C257" s="64"/>
      <c r="D257" s="230" t="s">
        <v>959</v>
      </c>
      <c r="E257" s="64" t="s">
        <v>958</v>
      </c>
    </row>
    <row r="258" spans="1:5" s="98" customFormat="1" ht="15" customHeight="1" x14ac:dyDescent="0.2">
      <c r="A258" s="68"/>
      <c r="B258" s="68"/>
      <c r="C258" s="64"/>
      <c r="D258" s="230" t="s">
        <v>959</v>
      </c>
      <c r="E258" s="64" t="s">
        <v>958</v>
      </c>
    </row>
    <row r="259" spans="1:5" s="98" customFormat="1" ht="15" customHeight="1" x14ac:dyDescent="0.2">
      <c r="A259" s="68"/>
      <c r="B259" s="68"/>
      <c r="C259" s="64"/>
      <c r="D259" s="230" t="s">
        <v>959</v>
      </c>
      <c r="E259" s="64" t="s">
        <v>958</v>
      </c>
    </row>
    <row r="260" spans="1:5" s="98" customFormat="1" ht="15" customHeight="1" x14ac:dyDescent="0.2">
      <c r="A260" s="68"/>
      <c r="B260" s="68"/>
      <c r="C260" s="64"/>
      <c r="D260" s="230" t="s">
        <v>959</v>
      </c>
      <c r="E260" s="64" t="s">
        <v>958</v>
      </c>
    </row>
    <row r="261" spans="1:5" s="98" customFormat="1" ht="15" customHeight="1" x14ac:dyDescent="0.2">
      <c r="A261" s="68"/>
      <c r="B261" s="68"/>
      <c r="C261" s="64"/>
      <c r="D261" s="230" t="s">
        <v>959</v>
      </c>
      <c r="E261" s="64" t="s">
        <v>958</v>
      </c>
    </row>
    <row r="262" spans="1:5" s="98" customFormat="1" ht="15" customHeight="1" x14ac:dyDescent="0.2">
      <c r="A262" s="68"/>
      <c r="B262" s="68"/>
      <c r="C262" s="64"/>
      <c r="D262" s="230" t="s">
        <v>959</v>
      </c>
      <c r="E262" s="64" t="s">
        <v>958</v>
      </c>
    </row>
    <row r="263" spans="1:5" s="98" customFormat="1" ht="15" customHeight="1" x14ac:dyDescent="0.2">
      <c r="A263" s="68"/>
      <c r="B263" s="68"/>
      <c r="C263" s="64"/>
      <c r="D263" s="230" t="s">
        <v>959</v>
      </c>
      <c r="E263" s="64" t="s">
        <v>958</v>
      </c>
    </row>
    <row r="264" spans="1:5" s="98" customFormat="1" ht="15" customHeight="1" x14ac:dyDescent="0.2">
      <c r="A264" s="68"/>
      <c r="B264" s="68"/>
      <c r="C264" s="64"/>
      <c r="D264" s="230" t="s">
        <v>959</v>
      </c>
      <c r="E264" s="64" t="s">
        <v>958</v>
      </c>
    </row>
    <row r="265" spans="1:5" s="98" customFormat="1" ht="15" customHeight="1" x14ac:dyDescent="0.2">
      <c r="A265" s="68"/>
      <c r="B265" s="68"/>
      <c r="C265" s="64"/>
      <c r="D265" s="230" t="s">
        <v>959</v>
      </c>
      <c r="E265" s="64" t="s">
        <v>958</v>
      </c>
    </row>
    <row r="266" spans="1:5" s="98" customFormat="1" ht="15" customHeight="1" x14ac:dyDescent="0.2">
      <c r="A266" s="68"/>
      <c r="B266" s="68"/>
      <c r="C266" s="64"/>
      <c r="D266" s="230" t="s">
        <v>959</v>
      </c>
      <c r="E266" s="64" t="s">
        <v>958</v>
      </c>
    </row>
    <row r="267" spans="1:5" s="98" customFormat="1" ht="15" customHeight="1" x14ac:dyDescent="0.2">
      <c r="A267" s="68"/>
      <c r="B267" s="68"/>
      <c r="C267" s="64"/>
      <c r="D267" s="230" t="s">
        <v>959</v>
      </c>
      <c r="E267" s="64" t="s">
        <v>958</v>
      </c>
    </row>
    <row r="268" spans="1:5" s="98" customFormat="1" ht="15" customHeight="1" x14ac:dyDescent="0.2">
      <c r="A268" s="68"/>
      <c r="B268" s="68"/>
      <c r="C268" s="64"/>
      <c r="D268" s="230" t="s">
        <v>959</v>
      </c>
      <c r="E268" s="64" t="s">
        <v>958</v>
      </c>
    </row>
    <row r="269" spans="1:5" s="98" customFormat="1" ht="15" customHeight="1" x14ac:dyDescent="0.2">
      <c r="A269" s="68"/>
      <c r="B269" s="68"/>
      <c r="C269" s="64"/>
      <c r="D269" s="230" t="s">
        <v>959</v>
      </c>
      <c r="E269" s="64" t="s">
        <v>958</v>
      </c>
    </row>
    <row r="270" spans="1:5" s="98" customFormat="1" ht="15" customHeight="1" x14ac:dyDescent="0.2">
      <c r="A270" s="68"/>
      <c r="B270" s="68"/>
      <c r="C270" s="64"/>
      <c r="D270" s="230" t="s">
        <v>959</v>
      </c>
      <c r="E270" s="64" t="s">
        <v>958</v>
      </c>
    </row>
    <row r="271" spans="1:5" s="98" customFormat="1" ht="15" customHeight="1" x14ac:dyDescent="0.2">
      <c r="A271" s="68"/>
      <c r="B271" s="68"/>
      <c r="C271" s="64"/>
      <c r="D271" s="230" t="s">
        <v>959</v>
      </c>
      <c r="E271" s="64" t="s">
        <v>958</v>
      </c>
    </row>
    <row r="272" spans="1:5" s="98" customFormat="1" ht="15" customHeight="1" x14ac:dyDescent="0.2">
      <c r="A272" s="68"/>
      <c r="B272" s="68"/>
      <c r="C272" s="64"/>
      <c r="D272" s="230" t="s">
        <v>959</v>
      </c>
      <c r="E272" s="64" t="s">
        <v>958</v>
      </c>
    </row>
    <row r="273" spans="1:5" s="98" customFormat="1" ht="15" customHeight="1" x14ac:dyDescent="0.2">
      <c r="A273" s="68"/>
      <c r="B273" s="68"/>
      <c r="C273" s="64"/>
      <c r="D273" s="230" t="s">
        <v>959</v>
      </c>
      <c r="E273" s="64" t="s">
        <v>958</v>
      </c>
    </row>
    <row r="274" spans="1:5" s="98" customFormat="1" ht="15" customHeight="1" x14ac:dyDescent="0.2">
      <c r="A274" s="68"/>
      <c r="B274" s="68"/>
      <c r="C274" s="64"/>
      <c r="D274" s="230" t="s">
        <v>959</v>
      </c>
      <c r="E274" s="64" t="s">
        <v>958</v>
      </c>
    </row>
    <row r="275" spans="1:5" s="98" customFormat="1" ht="15" customHeight="1" x14ac:dyDescent="0.2">
      <c r="A275" s="68"/>
      <c r="B275" s="68"/>
      <c r="C275" s="64"/>
      <c r="D275" s="230" t="s">
        <v>959</v>
      </c>
      <c r="E275" s="64" t="s">
        <v>958</v>
      </c>
    </row>
    <row r="276" spans="1:5" s="98" customFormat="1" ht="15" customHeight="1" x14ac:dyDescent="0.2">
      <c r="A276" s="68"/>
      <c r="B276" s="68"/>
      <c r="C276" s="64"/>
      <c r="D276" s="230" t="s">
        <v>959</v>
      </c>
      <c r="E276" s="64" t="s">
        <v>958</v>
      </c>
    </row>
    <row r="277" spans="1:5" s="98" customFormat="1" ht="15" customHeight="1" x14ac:dyDescent="0.2">
      <c r="A277" s="68"/>
      <c r="B277" s="68"/>
      <c r="C277" s="64"/>
      <c r="D277" s="230" t="s">
        <v>959</v>
      </c>
      <c r="E277" s="64" t="s">
        <v>958</v>
      </c>
    </row>
    <row r="278" spans="1:5" s="98" customFormat="1" ht="15" customHeight="1" x14ac:dyDescent="0.2">
      <c r="A278" s="68"/>
      <c r="B278" s="68"/>
      <c r="C278" s="64"/>
      <c r="D278" s="230" t="s">
        <v>959</v>
      </c>
      <c r="E278" s="64" t="s">
        <v>958</v>
      </c>
    </row>
    <row r="279" spans="1:5" s="98" customFormat="1" ht="15" customHeight="1" x14ac:dyDescent="0.2">
      <c r="A279" s="68"/>
      <c r="B279" s="68"/>
      <c r="C279" s="64"/>
      <c r="D279" s="230" t="s">
        <v>959</v>
      </c>
      <c r="E279" s="64" t="s">
        <v>958</v>
      </c>
    </row>
    <row r="280" spans="1:5" s="98" customFormat="1" ht="15" customHeight="1" x14ac:dyDescent="0.2">
      <c r="A280" s="68"/>
      <c r="B280" s="68"/>
      <c r="C280" s="64"/>
      <c r="D280" s="230" t="s">
        <v>959</v>
      </c>
      <c r="E280" s="64" t="s">
        <v>958</v>
      </c>
    </row>
    <row r="281" spans="1:5" s="98" customFormat="1" ht="15" customHeight="1" x14ac:dyDescent="0.2">
      <c r="A281" s="68"/>
      <c r="B281" s="68"/>
      <c r="C281" s="64"/>
      <c r="D281" s="230" t="s">
        <v>959</v>
      </c>
      <c r="E281" s="64" t="s">
        <v>958</v>
      </c>
    </row>
    <row r="282" spans="1:5" s="98" customFormat="1" ht="15" customHeight="1" x14ac:dyDescent="0.2">
      <c r="A282" s="68"/>
      <c r="B282" s="68"/>
      <c r="C282" s="64"/>
      <c r="D282" s="230" t="s">
        <v>959</v>
      </c>
      <c r="E282" s="64" t="s">
        <v>958</v>
      </c>
    </row>
    <row r="283" spans="1:5" s="98" customFormat="1" ht="15" customHeight="1" x14ac:dyDescent="0.2">
      <c r="A283" s="68"/>
      <c r="B283" s="68"/>
      <c r="C283" s="64"/>
      <c r="D283" s="230" t="s">
        <v>959</v>
      </c>
      <c r="E283" s="64" t="s">
        <v>958</v>
      </c>
    </row>
    <row r="284" spans="1:5" s="98" customFormat="1" ht="15" customHeight="1" x14ac:dyDescent="0.2">
      <c r="A284" s="68"/>
      <c r="B284" s="68"/>
      <c r="C284" s="64"/>
      <c r="D284" s="230" t="s">
        <v>959</v>
      </c>
      <c r="E284" s="64" t="s">
        <v>958</v>
      </c>
    </row>
    <row r="285" spans="1:5" s="98" customFormat="1" ht="15" customHeight="1" x14ac:dyDescent="0.2">
      <c r="A285" s="68"/>
      <c r="B285" s="68"/>
      <c r="C285" s="64"/>
      <c r="D285" s="230" t="s">
        <v>959</v>
      </c>
      <c r="E285" s="64" t="s">
        <v>958</v>
      </c>
    </row>
    <row r="286" spans="1:5" s="98" customFormat="1" ht="15" customHeight="1" x14ac:dyDescent="0.2">
      <c r="A286" s="68"/>
      <c r="B286" s="68"/>
      <c r="C286" s="64"/>
      <c r="D286" s="230" t="s">
        <v>959</v>
      </c>
      <c r="E286" s="64" t="s">
        <v>958</v>
      </c>
    </row>
    <row r="287" spans="1:5" s="98" customFormat="1" ht="15" customHeight="1" x14ac:dyDescent="0.2">
      <c r="A287" s="68"/>
      <c r="B287" s="68"/>
      <c r="C287" s="64"/>
      <c r="D287" s="230" t="s">
        <v>959</v>
      </c>
      <c r="E287" s="64" t="s">
        <v>958</v>
      </c>
    </row>
    <row r="288" spans="1:5" s="98" customFormat="1" ht="15" customHeight="1" x14ac:dyDescent="0.2">
      <c r="A288" s="68"/>
      <c r="B288" s="68"/>
      <c r="C288" s="64"/>
      <c r="D288" s="230" t="s">
        <v>959</v>
      </c>
      <c r="E288" s="64" t="s">
        <v>958</v>
      </c>
    </row>
    <row r="289" spans="1:5" s="98" customFormat="1" ht="15" customHeight="1" x14ac:dyDescent="0.2">
      <c r="A289" s="68"/>
      <c r="B289" s="68"/>
      <c r="C289" s="64"/>
      <c r="D289" s="230" t="s">
        <v>959</v>
      </c>
      <c r="E289" s="64" t="s">
        <v>958</v>
      </c>
    </row>
    <row r="290" spans="1:5" s="98" customFormat="1" ht="15" customHeight="1" x14ac:dyDescent="0.2">
      <c r="A290" s="68"/>
      <c r="B290" s="68"/>
      <c r="C290" s="64"/>
      <c r="D290" s="230" t="s">
        <v>959</v>
      </c>
      <c r="E290" s="64" t="s">
        <v>958</v>
      </c>
    </row>
    <row r="291" spans="1:5" s="98" customFormat="1" ht="15" customHeight="1" x14ac:dyDescent="0.2">
      <c r="A291" s="68"/>
      <c r="B291" s="68"/>
      <c r="C291" s="64"/>
      <c r="D291" s="230" t="s">
        <v>959</v>
      </c>
      <c r="E291" s="64" t="s">
        <v>958</v>
      </c>
    </row>
    <row r="292" spans="1:5" s="98" customFormat="1" ht="15" customHeight="1" x14ac:dyDescent="0.2">
      <c r="A292" s="68"/>
      <c r="B292" s="68"/>
      <c r="C292" s="64"/>
      <c r="D292" s="230" t="s">
        <v>959</v>
      </c>
      <c r="E292" s="64" t="s">
        <v>958</v>
      </c>
    </row>
    <row r="293" spans="1:5" s="98" customFormat="1" ht="15" customHeight="1" x14ac:dyDescent="0.2">
      <c r="A293" s="68"/>
      <c r="B293" s="68"/>
      <c r="C293" s="64"/>
      <c r="D293" s="230" t="s">
        <v>959</v>
      </c>
      <c r="E293" s="64" t="s">
        <v>958</v>
      </c>
    </row>
    <row r="294" spans="1:5" s="98" customFormat="1" ht="15" customHeight="1" x14ac:dyDescent="0.2">
      <c r="A294" s="68"/>
      <c r="B294" s="68"/>
      <c r="C294" s="64"/>
      <c r="D294" s="230" t="s">
        <v>959</v>
      </c>
      <c r="E294" s="64" t="s">
        <v>958</v>
      </c>
    </row>
    <row r="295" spans="1:5" s="98" customFormat="1" ht="15" customHeight="1" x14ac:dyDescent="0.2">
      <c r="A295" s="68"/>
      <c r="B295" s="68"/>
      <c r="C295" s="64"/>
      <c r="D295" s="230" t="s">
        <v>959</v>
      </c>
      <c r="E295" s="64" t="s">
        <v>958</v>
      </c>
    </row>
    <row r="296" spans="1:5" s="98" customFormat="1" ht="15" customHeight="1" x14ac:dyDescent="0.2">
      <c r="A296" s="68"/>
      <c r="B296" s="68"/>
      <c r="C296" s="64"/>
      <c r="D296" s="230" t="s">
        <v>959</v>
      </c>
      <c r="E296" s="64" t="s">
        <v>958</v>
      </c>
    </row>
    <row r="297" spans="1:5" s="98" customFormat="1" ht="15" customHeight="1" x14ac:dyDescent="0.2">
      <c r="A297" s="68"/>
      <c r="B297" s="68"/>
      <c r="C297" s="64"/>
      <c r="D297" s="230" t="s">
        <v>959</v>
      </c>
      <c r="E297" s="64" t="s">
        <v>958</v>
      </c>
    </row>
    <row r="298" spans="1:5" s="98" customFormat="1" ht="15" customHeight="1" x14ac:dyDescent="0.2">
      <c r="A298" s="68"/>
      <c r="B298" s="68"/>
      <c r="C298" s="64"/>
      <c r="D298" s="230" t="s">
        <v>959</v>
      </c>
      <c r="E298" s="64" t="s">
        <v>958</v>
      </c>
    </row>
    <row r="299" spans="1:5" s="98" customFormat="1" ht="15" customHeight="1" x14ac:dyDescent="0.2">
      <c r="A299" s="68"/>
      <c r="B299" s="68"/>
      <c r="C299" s="64"/>
      <c r="D299" s="230" t="s">
        <v>959</v>
      </c>
      <c r="E299" s="64" t="s">
        <v>958</v>
      </c>
    </row>
    <row r="300" spans="1:5" s="98" customFormat="1" ht="15" customHeight="1" x14ac:dyDescent="0.2">
      <c r="A300" s="68"/>
      <c r="B300" s="68"/>
      <c r="C300" s="64"/>
      <c r="D300" s="230" t="s">
        <v>959</v>
      </c>
      <c r="E300" s="64" t="s">
        <v>958</v>
      </c>
    </row>
    <row r="301" spans="1:5" s="98" customFormat="1" ht="15" customHeight="1" x14ac:dyDescent="0.2">
      <c r="A301" s="68"/>
      <c r="B301" s="68"/>
      <c r="C301" s="64"/>
      <c r="D301" s="230" t="s">
        <v>959</v>
      </c>
      <c r="E301" s="64" t="s">
        <v>958</v>
      </c>
    </row>
    <row r="302" spans="1:5" s="98" customFormat="1" ht="15" customHeight="1" x14ac:dyDescent="0.2">
      <c r="A302" s="68"/>
      <c r="B302" s="68"/>
      <c r="C302" s="64"/>
      <c r="D302" s="230" t="s">
        <v>959</v>
      </c>
      <c r="E302" s="64" t="s">
        <v>958</v>
      </c>
    </row>
    <row r="303" spans="1:5" s="98" customFormat="1" ht="15" customHeight="1" x14ac:dyDescent="0.2">
      <c r="A303" s="68"/>
      <c r="B303" s="68"/>
      <c r="C303" s="64"/>
      <c r="D303" s="230" t="s">
        <v>959</v>
      </c>
      <c r="E303" s="64" t="s">
        <v>958</v>
      </c>
    </row>
    <row r="304" spans="1:5" s="98" customFormat="1" ht="15" customHeight="1" x14ac:dyDescent="0.2">
      <c r="A304" s="68"/>
      <c r="B304" s="68"/>
      <c r="C304" s="64"/>
      <c r="D304" s="230" t="s">
        <v>959</v>
      </c>
      <c r="E304" s="64" t="s">
        <v>958</v>
      </c>
    </row>
    <row r="305" spans="1:5" s="98" customFormat="1" ht="15" customHeight="1" x14ac:dyDescent="0.2">
      <c r="A305" s="68"/>
      <c r="B305" s="68"/>
      <c r="C305" s="64"/>
      <c r="D305" s="230" t="s">
        <v>959</v>
      </c>
      <c r="E305" s="64" t="s">
        <v>958</v>
      </c>
    </row>
    <row r="306" spans="1:5" s="98" customFormat="1" ht="15" customHeight="1" x14ac:dyDescent="0.2">
      <c r="A306" s="68"/>
      <c r="B306" s="68"/>
      <c r="C306" s="64"/>
      <c r="D306" s="230" t="s">
        <v>959</v>
      </c>
      <c r="E306" s="64" t="s">
        <v>958</v>
      </c>
    </row>
    <row r="307" spans="1:5" s="98" customFormat="1" ht="15" customHeight="1" x14ac:dyDescent="0.2">
      <c r="A307" s="68"/>
      <c r="B307" s="68"/>
      <c r="C307" s="64"/>
      <c r="D307" s="230" t="s">
        <v>959</v>
      </c>
      <c r="E307" s="64" t="s">
        <v>958</v>
      </c>
    </row>
    <row r="308" spans="1:5" s="98" customFormat="1" ht="15" customHeight="1" x14ac:dyDescent="0.2">
      <c r="A308" s="68"/>
      <c r="B308" s="68"/>
      <c r="C308" s="64"/>
      <c r="D308" s="230" t="s">
        <v>959</v>
      </c>
      <c r="E308" s="64" t="s">
        <v>958</v>
      </c>
    </row>
    <row r="309" spans="1:5" s="98" customFormat="1" ht="15" customHeight="1" x14ac:dyDescent="0.2">
      <c r="A309" s="68"/>
      <c r="B309" s="68"/>
      <c r="C309" s="64"/>
      <c r="D309" s="230" t="s">
        <v>959</v>
      </c>
      <c r="E309" s="64" t="s">
        <v>958</v>
      </c>
    </row>
    <row r="310" spans="1:5" s="98" customFormat="1" ht="15" customHeight="1" x14ac:dyDescent="0.2">
      <c r="A310" s="68"/>
      <c r="B310" s="68"/>
      <c r="C310" s="64"/>
      <c r="D310" s="230" t="s">
        <v>959</v>
      </c>
      <c r="E310" s="64" t="s">
        <v>958</v>
      </c>
    </row>
    <row r="311" spans="1:5" s="98" customFormat="1" ht="15" customHeight="1" x14ac:dyDescent="0.2">
      <c r="A311" s="68"/>
      <c r="B311" s="68"/>
      <c r="C311" s="64"/>
      <c r="D311" s="230" t="s">
        <v>959</v>
      </c>
      <c r="E311" s="64" t="s">
        <v>958</v>
      </c>
    </row>
    <row r="312" spans="1:5" s="98" customFormat="1" ht="15" customHeight="1" x14ac:dyDescent="0.2">
      <c r="A312" s="68"/>
      <c r="B312" s="68"/>
      <c r="C312" s="64"/>
      <c r="D312" s="230" t="s">
        <v>959</v>
      </c>
      <c r="E312" s="64" t="s">
        <v>958</v>
      </c>
    </row>
    <row r="313" spans="1:5" s="98" customFormat="1" ht="15" customHeight="1" x14ac:dyDescent="0.2">
      <c r="A313" s="68"/>
      <c r="B313" s="68"/>
      <c r="C313" s="64"/>
      <c r="D313" s="230" t="s">
        <v>959</v>
      </c>
      <c r="E313" s="64" t="s">
        <v>958</v>
      </c>
    </row>
    <row r="314" spans="1:5" s="98" customFormat="1" ht="15" customHeight="1" x14ac:dyDescent="0.2">
      <c r="A314" s="68"/>
      <c r="B314" s="68"/>
      <c r="C314" s="64"/>
      <c r="D314" s="230" t="s">
        <v>959</v>
      </c>
      <c r="E314" s="64" t="s">
        <v>958</v>
      </c>
    </row>
    <row r="315" spans="1:5" s="98" customFormat="1" ht="15" customHeight="1" x14ac:dyDescent="0.2">
      <c r="A315" s="68"/>
      <c r="B315" s="68"/>
      <c r="C315" s="64"/>
      <c r="D315" s="230" t="s">
        <v>959</v>
      </c>
      <c r="E315" s="64" t="s">
        <v>958</v>
      </c>
    </row>
    <row r="316" spans="1:5" s="98" customFormat="1" ht="15" customHeight="1" x14ac:dyDescent="0.2">
      <c r="A316" s="68"/>
      <c r="B316" s="68"/>
      <c r="C316" s="64"/>
      <c r="D316" s="230" t="s">
        <v>959</v>
      </c>
      <c r="E316" s="64" t="s">
        <v>958</v>
      </c>
    </row>
    <row r="317" spans="1:5" s="98" customFormat="1" ht="15" customHeight="1" x14ac:dyDescent="0.2">
      <c r="A317" s="68"/>
      <c r="B317" s="68"/>
      <c r="C317" s="64"/>
      <c r="D317" s="230" t="s">
        <v>959</v>
      </c>
      <c r="E317" s="64" t="s">
        <v>958</v>
      </c>
    </row>
    <row r="318" spans="1:5" s="98" customFormat="1" ht="15" customHeight="1" x14ac:dyDescent="0.2">
      <c r="A318" s="68"/>
      <c r="B318" s="68"/>
      <c r="C318" s="64"/>
      <c r="D318" s="230" t="s">
        <v>959</v>
      </c>
      <c r="E318" s="64" t="s">
        <v>958</v>
      </c>
    </row>
    <row r="319" spans="1:5" s="98" customFormat="1" ht="15" customHeight="1" x14ac:dyDescent="0.2">
      <c r="A319" s="68"/>
      <c r="B319" s="68"/>
      <c r="C319" s="64"/>
      <c r="D319" s="230" t="s">
        <v>959</v>
      </c>
      <c r="E319" s="64" t="s">
        <v>958</v>
      </c>
    </row>
    <row r="320" spans="1:5" s="98" customFormat="1" ht="15" customHeight="1" x14ac:dyDescent="0.2">
      <c r="A320" s="68"/>
      <c r="B320" s="68"/>
      <c r="C320" s="64"/>
      <c r="D320" s="230" t="s">
        <v>959</v>
      </c>
      <c r="E320" s="64" t="s">
        <v>958</v>
      </c>
    </row>
    <row r="321" spans="1:5" s="98" customFormat="1" ht="15" customHeight="1" x14ac:dyDescent="0.2">
      <c r="A321" s="68"/>
      <c r="B321" s="68"/>
      <c r="C321" s="64"/>
      <c r="D321" s="230" t="s">
        <v>959</v>
      </c>
      <c r="E321" s="64" t="s">
        <v>958</v>
      </c>
    </row>
    <row r="322" spans="1:5" s="98" customFormat="1" ht="15" customHeight="1" x14ac:dyDescent="0.2">
      <c r="A322" s="68"/>
      <c r="B322" s="68"/>
      <c r="C322" s="64"/>
      <c r="D322" s="230" t="s">
        <v>959</v>
      </c>
      <c r="E322" s="64" t="s">
        <v>958</v>
      </c>
    </row>
    <row r="323" spans="1:5" s="98" customFormat="1" ht="15" customHeight="1" x14ac:dyDescent="0.2">
      <c r="A323" s="68"/>
      <c r="B323" s="68"/>
      <c r="C323" s="64"/>
      <c r="D323" s="230" t="s">
        <v>959</v>
      </c>
      <c r="E323" s="64" t="s">
        <v>958</v>
      </c>
    </row>
    <row r="324" spans="1:5" s="98" customFormat="1" ht="15" customHeight="1" x14ac:dyDescent="0.2">
      <c r="A324" s="68"/>
      <c r="B324" s="68"/>
      <c r="C324" s="64"/>
      <c r="D324" s="230" t="s">
        <v>959</v>
      </c>
      <c r="E324" s="64" t="s">
        <v>958</v>
      </c>
    </row>
    <row r="325" spans="1:5" s="98" customFormat="1" ht="15" customHeight="1" x14ac:dyDescent="0.2">
      <c r="A325" s="68"/>
      <c r="B325" s="68"/>
      <c r="C325" s="64"/>
      <c r="D325" s="230" t="s">
        <v>959</v>
      </c>
      <c r="E325" s="64" t="s">
        <v>958</v>
      </c>
    </row>
    <row r="326" spans="1:5" s="98" customFormat="1" ht="15" customHeight="1" x14ac:dyDescent="0.2">
      <c r="A326" s="68"/>
      <c r="B326" s="68"/>
      <c r="C326" s="64"/>
      <c r="D326" s="230" t="s">
        <v>959</v>
      </c>
      <c r="E326" s="64" t="s">
        <v>958</v>
      </c>
    </row>
    <row r="327" spans="1:5" s="98" customFormat="1" ht="15" customHeight="1" x14ac:dyDescent="0.2">
      <c r="A327" s="68"/>
      <c r="B327" s="68"/>
      <c r="C327" s="64"/>
      <c r="D327" s="230" t="s">
        <v>959</v>
      </c>
      <c r="E327" s="64" t="s">
        <v>958</v>
      </c>
    </row>
    <row r="328" spans="1:5" s="98" customFormat="1" ht="15" customHeight="1" x14ac:dyDescent="0.2">
      <c r="A328" s="68"/>
      <c r="B328" s="68"/>
      <c r="C328" s="64"/>
      <c r="D328" s="230" t="s">
        <v>959</v>
      </c>
      <c r="E328" s="64" t="s">
        <v>958</v>
      </c>
    </row>
    <row r="329" spans="1:5" s="98" customFormat="1" ht="15" customHeight="1" x14ac:dyDescent="0.2">
      <c r="A329" s="68"/>
      <c r="B329" s="68"/>
      <c r="C329" s="64"/>
      <c r="D329" s="230" t="s">
        <v>959</v>
      </c>
      <c r="E329" s="64" t="s">
        <v>958</v>
      </c>
    </row>
    <row r="330" spans="1:5" s="98" customFormat="1" ht="15" customHeight="1" x14ac:dyDescent="0.2">
      <c r="A330" s="68"/>
      <c r="B330" s="68"/>
      <c r="C330" s="64"/>
      <c r="D330" s="230" t="s">
        <v>959</v>
      </c>
      <c r="E330" s="64" t="s">
        <v>958</v>
      </c>
    </row>
    <row r="331" spans="1:5" s="98" customFormat="1" ht="15" customHeight="1" x14ac:dyDescent="0.2">
      <c r="A331" s="68"/>
      <c r="B331" s="68"/>
      <c r="C331" s="64"/>
      <c r="D331" s="230" t="s">
        <v>959</v>
      </c>
      <c r="E331" s="64" t="s">
        <v>958</v>
      </c>
    </row>
    <row r="332" spans="1:5" s="98" customFormat="1" ht="15" customHeight="1" x14ac:dyDescent="0.2">
      <c r="A332" s="68"/>
      <c r="B332" s="68"/>
      <c r="C332" s="64"/>
      <c r="D332" s="230" t="s">
        <v>959</v>
      </c>
      <c r="E332" s="64" t="s">
        <v>958</v>
      </c>
    </row>
    <row r="333" spans="1:5" s="98" customFormat="1" ht="15" customHeight="1" x14ac:dyDescent="0.2">
      <c r="A333" s="68"/>
      <c r="B333" s="68"/>
      <c r="C333" s="64"/>
      <c r="D333" s="230" t="s">
        <v>959</v>
      </c>
      <c r="E333" s="64" t="s">
        <v>958</v>
      </c>
    </row>
    <row r="334" spans="1:5" s="98" customFormat="1" ht="15" customHeight="1" x14ac:dyDescent="0.2">
      <c r="A334" s="68"/>
      <c r="B334" s="68"/>
      <c r="C334" s="64"/>
      <c r="D334" s="230" t="s">
        <v>959</v>
      </c>
      <c r="E334" s="64" t="s">
        <v>958</v>
      </c>
    </row>
    <row r="335" spans="1:5" s="98" customFormat="1" ht="15" customHeight="1" x14ac:dyDescent="0.2">
      <c r="A335" s="68"/>
      <c r="B335" s="68"/>
      <c r="C335" s="64"/>
      <c r="D335" s="230" t="s">
        <v>959</v>
      </c>
      <c r="E335" s="64" t="s">
        <v>958</v>
      </c>
    </row>
    <row r="336" spans="1:5" s="98" customFormat="1" ht="15" customHeight="1" x14ac:dyDescent="0.2">
      <c r="A336" s="68"/>
      <c r="B336" s="68"/>
      <c r="C336" s="64"/>
      <c r="D336" s="230" t="s">
        <v>959</v>
      </c>
      <c r="E336" s="64" t="s">
        <v>958</v>
      </c>
    </row>
    <row r="337" spans="1:5" s="98" customFormat="1" ht="15" customHeight="1" x14ac:dyDescent="0.2">
      <c r="A337" s="68"/>
      <c r="B337" s="68"/>
      <c r="C337" s="64"/>
      <c r="D337" s="230" t="s">
        <v>959</v>
      </c>
      <c r="E337" s="64" t="s">
        <v>958</v>
      </c>
    </row>
    <row r="338" spans="1:5" s="98" customFormat="1" ht="15" customHeight="1" x14ac:dyDescent="0.2">
      <c r="A338" s="68"/>
      <c r="B338" s="68"/>
      <c r="C338" s="64"/>
      <c r="D338" s="230" t="s">
        <v>959</v>
      </c>
      <c r="E338" s="64" t="s">
        <v>958</v>
      </c>
    </row>
    <row r="339" spans="1:5" s="98" customFormat="1" ht="15" customHeight="1" x14ac:dyDescent="0.2">
      <c r="A339" s="68"/>
      <c r="B339" s="68"/>
      <c r="C339" s="64"/>
      <c r="D339" s="230" t="s">
        <v>959</v>
      </c>
      <c r="E339" s="64" t="s">
        <v>958</v>
      </c>
    </row>
    <row r="340" spans="1:5" s="98" customFormat="1" ht="15" customHeight="1" x14ac:dyDescent="0.2">
      <c r="A340" s="68"/>
      <c r="B340" s="68"/>
      <c r="C340" s="64"/>
      <c r="D340" s="230" t="s">
        <v>959</v>
      </c>
      <c r="E340" s="64" t="s">
        <v>958</v>
      </c>
    </row>
    <row r="341" spans="1:5" s="98" customFormat="1" ht="15" customHeight="1" x14ac:dyDescent="0.2">
      <c r="A341" s="68"/>
      <c r="B341" s="68"/>
      <c r="C341" s="64"/>
      <c r="D341" s="230" t="s">
        <v>959</v>
      </c>
      <c r="E341" s="64" t="s">
        <v>958</v>
      </c>
    </row>
    <row r="342" spans="1:5" s="98" customFormat="1" ht="15" customHeight="1" x14ac:dyDescent="0.2">
      <c r="A342" s="68"/>
      <c r="B342" s="68"/>
      <c r="C342" s="64"/>
      <c r="D342" s="230" t="s">
        <v>959</v>
      </c>
      <c r="E342" s="64" t="s">
        <v>958</v>
      </c>
    </row>
    <row r="343" spans="1:5" s="98" customFormat="1" ht="15" customHeight="1" x14ac:dyDescent="0.2">
      <c r="A343" s="68"/>
      <c r="B343" s="68"/>
      <c r="C343" s="64"/>
      <c r="D343" s="230" t="s">
        <v>959</v>
      </c>
      <c r="E343" s="64" t="s">
        <v>958</v>
      </c>
    </row>
    <row r="344" spans="1:5" s="98" customFormat="1" ht="15" customHeight="1" x14ac:dyDescent="0.2">
      <c r="A344" s="68"/>
      <c r="B344" s="68"/>
      <c r="C344" s="64"/>
      <c r="D344" s="230" t="s">
        <v>959</v>
      </c>
      <c r="E344" s="64" t="s">
        <v>958</v>
      </c>
    </row>
    <row r="345" spans="1:5" s="98" customFormat="1" ht="15" customHeight="1" x14ac:dyDescent="0.2">
      <c r="A345" s="68"/>
      <c r="B345" s="68"/>
      <c r="C345" s="64"/>
      <c r="D345" s="230" t="s">
        <v>959</v>
      </c>
      <c r="E345" s="64" t="s">
        <v>958</v>
      </c>
    </row>
    <row r="346" spans="1:5" s="98" customFormat="1" ht="15" customHeight="1" x14ac:dyDescent="0.2">
      <c r="A346" s="68"/>
      <c r="B346" s="68"/>
      <c r="C346" s="64"/>
      <c r="D346" s="230" t="s">
        <v>959</v>
      </c>
      <c r="E346" s="64" t="s">
        <v>958</v>
      </c>
    </row>
    <row r="347" spans="1:5" s="98" customFormat="1" ht="15" customHeight="1" x14ac:dyDescent="0.2">
      <c r="A347" s="68"/>
      <c r="B347" s="68"/>
      <c r="C347" s="64"/>
      <c r="D347" s="230" t="s">
        <v>959</v>
      </c>
      <c r="E347" s="64" t="s">
        <v>958</v>
      </c>
    </row>
    <row r="348" spans="1:5" s="98" customFormat="1" ht="15" customHeight="1" x14ac:dyDescent="0.2">
      <c r="A348" s="68"/>
      <c r="B348" s="68"/>
      <c r="C348" s="64"/>
      <c r="D348" s="230" t="s">
        <v>959</v>
      </c>
      <c r="E348" s="64" t="s">
        <v>958</v>
      </c>
    </row>
    <row r="349" spans="1:5" s="98" customFormat="1" ht="15" customHeight="1" x14ac:dyDescent="0.2">
      <c r="A349" s="68"/>
      <c r="B349" s="68"/>
      <c r="C349" s="64"/>
      <c r="D349" s="230" t="s">
        <v>959</v>
      </c>
      <c r="E349" s="64" t="s">
        <v>958</v>
      </c>
    </row>
    <row r="350" spans="1:5" s="98" customFormat="1" ht="15" customHeight="1" x14ac:dyDescent="0.2">
      <c r="A350" s="68"/>
      <c r="B350" s="68"/>
      <c r="C350" s="64"/>
      <c r="D350" s="230" t="s">
        <v>959</v>
      </c>
      <c r="E350" s="64" t="s">
        <v>958</v>
      </c>
    </row>
    <row r="351" spans="1:5" s="98" customFormat="1" ht="15" customHeight="1" x14ac:dyDescent="0.2">
      <c r="A351" s="68"/>
      <c r="B351" s="68"/>
      <c r="C351" s="64"/>
      <c r="D351" s="230" t="s">
        <v>959</v>
      </c>
      <c r="E351" s="64" t="s">
        <v>958</v>
      </c>
    </row>
    <row r="352" spans="1:5" s="98" customFormat="1" ht="15" customHeight="1" x14ac:dyDescent="0.2">
      <c r="A352" s="68"/>
      <c r="B352" s="68"/>
      <c r="C352" s="64"/>
      <c r="D352" s="230" t="s">
        <v>959</v>
      </c>
      <c r="E352" s="64" t="s">
        <v>958</v>
      </c>
    </row>
    <row r="353" spans="1:5" s="98" customFormat="1" ht="15" customHeight="1" x14ac:dyDescent="0.2">
      <c r="A353" s="68"/>
      <c r="B353" s="68"/>
      <c r="C353" s="64"/>
      <c r="D353" s="230" t="s">
        <v>959</v>
      </c>
      <c r="E353" s="64" t="s">
        <v>958</v>
      </c>
    </row>
    <row r="354" spans="1:5" s="98" customFormat="1" ht="15" customHeight="1" x14ac:dyDescent="0.2">
      <c r="A354" s="68"/>
      <c r="B354" s="68"/>
      <c r="C354" s="64"/>
      <c r="D354" s="230" t="s">
        <v>959</v>
      </c>
      <c r="E354" s="64" t="s">
        <v>958</v>
      </c>
    </row>
    <row r="355" spans="1:5" s="98" customFormat="1" ht="15" customHeight="1" x14ac:dyDescent="0.2">
      <c r="A355" s="68"/>
      <c r="B355" s="68"/>
      <c r="C355" s="64"/>
      <c r="D355" s="230" t="s">
        <v>959</v>
      </c>
      <c r="E355" s="64" t="s">
        <v>958</v>
      </c>
    </row>
    <row r="356" spans="1:5" s="98" customFormat="1" ht="15" customHeight="1" x14ac:dyDescent="0.2">
      <c r="A356" s="68"/>
      <c r="B356" s="68"/>
      <c r="C356" s="64"/>
      <c r="D356" s="230" t="s">
        <v>959</v>
      </c>
      <c r="E356" s="64" t="s">
        <v>958</v>
      </c>
    </row>
    <row r="357" spans="1:5" s="98" customFormat="1" ht="15" customHeight="1" x14ac:dyDescent="0.2">
      <c r="A357" s="68"/>
      <c r="B357" s="68"/>
      <c r="C357" s="64"/>
      <c r="D357" s="230" t="s">
        <v>959</v>
      </c>
      <c r="E357" s="64" t="s">
        <v>958</v>
      </c>
    </row>
    <row r="358" spans="1:5" s="98" customFormat="1" ht="15" customHeight="1" x14ac:dyDescent="0.2">
      <c r="A358" s="68"/>
      <c r="B358" s="68"/>
      <c r="C358" s="64"/>
      <c r="D358" s="230" t="s">
        <v>959</v>
      </c>
      <c r="E358" s="64" t="s">
        <v>958</v>
      </c>
    </row>
    <row r="359" spans="1:5" s="98" customFormat="1" ht="15" customHeight="1" x14ac:dyDescent="0.2">
      <c r="A359" s="68"/>
      <c r="B359" s="68"/>
      <c r="C359" s="64"/>
      <c r="D359" s="230" t="s">
        <v>959</v>
      </c>
      <c r="E359" s="64" t="s">
        <v>958</v>
      </c>
    </row>
    <row r="360" spans="1:5" s="98" customFormat="1" ht="15" customHeight="1" x14ac:dyDescent="0.2">
      <c r="A360" s="68"/>
      <c r="B360" s="68"/>
      <c r="C360" s="64"/>
      <c r="D360" s="230" t="s">
        <v>959</v>
      </c>
      <c r="E360" s="64" t="s">
        <v>958</v>
      </c>
    </row>
    <row r="361" spans="1:5" s="98" customFormat="1" ht="15" customHeight="1" x14ac:dyDescent="0.2">
      <c r="A361" s="68"/>
      <c r="B361" s="68"/>
      <c r="C361" s="64"/>
      <c r="D361" s="230" t="s">
        <v>959</v>
      </c>
      <c r="E361" s="64" t="s">
        <v>958</v>
      </c>
    </row>
    <row r="362" spans="1:5" s="98" customFormat="1" ht="15" customHeight="1" x14ac:dyDescent="0.2">
      <c r="A362" s="68"/>
      <c r="B362" s="68"/>
      <c r="C362" s="64"/>
      <c r="D362" s="230" t="s">
        <v>959</v>
      </c>
      <c r="E362" s="64" t="s">
        <v>958</v>
      </c>
    </row>
    <row r="363" spans="1:5" s="98" customFormat="1" ht="15" customHeight="1" x14ac:dyDescent="0.2">
      <c r="A363" s="68"/>
      <c r="B363" s="68"/>
      <c r="C363" s="64"/>
      <c r="D363" s="230" t="s">
        <v>959</v>
      </c>
      <c r="E363" s="64" t="s">
        <v>958</v>
      </c>
    </row>
    <row r="364" spans="1:5" s="98" customFormat="1" ht="15" customHeight="1" x14ac:dyDescent="0.2">
      <c r="A364" s="68"/>
      <c r="B364" s="68"/>
      <c r="C364" s="64"/>
      <c r="D364" s="230" t="s">
        <v>959</v>
      </c>
      <c r="E364" s="64" t="s">
        <v>958</v>
      </c>
    </row>
    <row r="365" spans="1:5" s="98" customFormat="1" ht="15" customHeight="1" x14ac:dyDescent="0.2">
      <c r="A365" s="68"/>
      <c r="B365" s="68"/>
      <c r="C365" s="64"/>
      <c r="D365" s="230" t="s">
        <v>959</v>
      </c>
      <c r="E365" s="64" t="s">
        <v>958</v>
      </c>
    </row>
    <row r="366" spans="1:5" s="98" customFormat="1" ht="15" customHeight="1" x14ac:dyDescent="0.2">
      <c r="A366" s="68"/>
      <c r="B366" s="68"/>
      <c r="C366" s="64"/>
      <c r="D366" s="230" t="s">
        <v>959</v>
      </c>
      <c r="E366" s="64" t="s">
        <v>958</v>
      </c>
    </row>
    <row r="367" spans="1:5" s="98" customFormat="1" ht="15" customHeight="1" x14ac:dyDescent="0.2">
      <c r="A367" s="68"/>
      <c r="B367" s="68"/>
      <c r="C367" s="64"/>
      <c r="D367" s="230" t="s">
        <v>959</v>
      </c>
      <c r="E367" s="64" t="s">
        <v>958</v>
      </c>
    </row>
    <row r="368" spans="1:5" s="98" customFormat="1" ht="15" customHeight="1" x14ac:dyDescent="0.2">
      <c r="A368" s="68"/>
      <c r="B368" s="68"/>
      <c r="C368" s="64"/>
      <c r="D368" s="230" t="s">
        <v>959</v>
      </c>
      <c r="E368" s="64" t="s">
        <v>958</v>
      </c>
    </row>
    <row r="369" spans="1:5" s="98" customFormat="1" ht="15" customHeight="1" x14ac:dyDescent="0.2">
      <c r="A369" s="68"/>
      <c r="B369" s="68"/>
      <c r="C369" s="64"/>
      <c r="D369" s="230" t="s">
        <v>959</v>
      </c>
      <c r="E369" s="64" t="s">
        <v>958</v>
      </c>
    </row>
    <row r="370" spans="1:5" s="98" customFormat="1" ht="15" customHeight="1" x14ac:dyDescent="0.2">
      <c r="A370" s="68"/>
      <c r="B370" s="68"/>
      <c r="C370" s="64"/>
      <c r="D370" s="230" t="s">
        <v>959</v>
      </c>
      <c r="E370" s="64" t="s">
        <v>958</v>
      </c>
    </row>
    <row r="371" spans="1:5" s="98" customFormat="1" ht="15" customHeight="1" x14ac:dyDescent="0.2">
      <c r="A371" s="68"/>
      <c r="B371" s="68"/>
      <c r="C371" s="64"/>
      <c r="D371" s="230" t="s">
        <v>959</v>
      </c>
      <c r="E371" s="64" t="s">
        <v>958</v>
      </c>
    </row>
    <row r="372" spans="1:5" s="98" customFormat="1" ht="15" customHeight="1" x14ac:dyDescent="0.2">
      <c r="A372" s="68"/>
      <c r="B372" s="68"/>
      <c r="C372" s="64"/>
      <c r="D372" s="230" t="s">
        <v>959</v>
      </c>
      <c r="E372" s="64" t="s">
        <v>958</v>
      </c>
    </row>
    <row r="373" spans="1:5" s="98" customFormat="1" ht="15" customHeight="1" x14ac:dyDescent="0.2">
      <c r="A373" s="68"/>
      <c r="B373" s="68"/>
      <c r="C373" s="64"/>
      <c r="D373" s="230" t="s">
        <v>959</v>
      </c>
      <c r="E373" s="64" t="s">
        <v>958</v>
      </c>
    </row>
    <row r="374" spans="1:5" s="98" customFormat="1" ht="15" customHeight="1" x14ac:dyDescent="0.2">
      <c r="A374" s="68"/>
      <c r="B374" s="68"/>
      <c r="C374" s="64"/>
      <c r="D374" s="230" t="s">
        <v>959</v>
      </c>
      <c r="E374" s="64" t="s">
        <v>958</v>
      </c>
    </row>
    <row r="375" spans="1:5" s="98" customFormat="1" ht="15" customHeight="1" x14ac:dyDescent="0.2">
      <c r="A375" s="68"/>
      <c r="B375" s="68"/>
      <c r="C375" s="64"/>
      <c r="D375" s="230" t="s">
        <v>959</v>
      </c>
      <c r="E375" s="64" t="s">
        <v>958</v>
      </c>
    </row>
    <row r="376" spans="1:5" s="98" customFormat="1" ht="15" customHeight="1" x14ac:dyDescent="0.2">
      <c r="A376" s="68"/>
      <c r="B376" s="68"/>
      <c r="C376" s="64"/>
      <c r="D376" s="230" t="s">
        <v>959</v>
      </c>
      <c r="E376" s="64" t="s">
        <v>958</v>
      </c>
    </row>
    <row r="377" spans="1:5" s="98" customFormat="1" ht="15" customHeight="1" x14ac:dyDescent="0.2">
      <c r="A377" s="68"/>
      <c r="B377" s="68"/>
      <c r="C377" s="64"/>
      <c r="D377" s="230" t="s">
        <v>959</v>
      </c>
      <c r="E377" s="64" t="s">
        <v>958</v>
      </c>
    </row>
    <row r="378" spans="1:5" s="98" customFormat="1" ht="15" customHeight="1" x14ac:dyDescent="0.2">
      <c r="A378" s="68"/>
      <c r="B378" s="68"/>
      <c r="C378" s="64"/>
      <c r="D378" s="230" t="s">
        <v>959</v>
      </c>
      <c r="E378" s="64" t="s">
        <v>958</v>
      </c>
    </row>
    <row r="379" spans="1:5" s="98" customFormat="1" ht="15" customHeight="1" x14ac:dyDescent="0.2">
      <c r="A379" s="68"/>
      <c r="B379" s="68"/>
      <c r="C379" s="64"/>
      <c r="D379" s="230" t="s">
        <v>959</v>
      </c>
      <c r="E379" s="64" t="s">
        <v>958</v>
      </c>
    </row>
    <row r="380" spans="1:5" s="98" customFormat="1" ht="15" customHeight="1" x14ac:dyDescent="0.2">
      <c r="A380" s="68"/>
      <c r="B380" s="68"/>
      <c r="C380" s="64"/>
      <c r="D380" s="230" t="s">
        <v>959</v>
      </c>
      <c r="E380" s="64" t="s">
        <v>958</v>
      </c>
    </row>
    <row r="381" spans="1:5" s="98" customFormat="1" ht="15" customHeight="1" x14ac:dyDescent="0.2">
      <c r="A381" s="68"/>
      <c r="B381" s="68"/>
      <c r="C381" s="64"/>
      <c r="D381" s="230" t="s">
        <v>959</v>
      </c>
      <c r="E381" s="64" t="s">
        <v>958</v>
      </c>
    </row>
    <row r="382" spans="1:5" s="98" customFormat="1" ht="15" customHeight="1" x14ac:dyDescent="0.2">
      <c r="A382" s="68"/>
      <c r="B382" s="68"/>
      <c r="C382" s="64"/>
      <c r="D382" s="230" t="s">
        <v>959</v>
      </c>
      <c r="E382" s="64" t="s">
        <v>958</v>
      </c>
    </row>
    <row r="383" spans="1:5" s="98" customFormat="1" ht="15" customHeight="1" x14ac:dyDescent="0.2">
      <c r="A383" s="68"/>
      <c r="B383" s="68"/>
      <c r="C383" s="64"/>
      <c r="D383" s="230" t="s">
        <v>959</v>
      </c>
      <c r="E383" s="64" t="s">
        <v>958</v>
      </c>
    </row>
    <row r="384" spans="1:5" s="98" customFormat="1" ht="15" customHeight="1" x14ac:dyDescent="0.2">
      <c r="A384" s="68"/>
      <c r="B384" s="68"/>
      <c r="C384" s="64"/>
      <c r="D384" s="230" t="s">
        <v>959</v>
      </c>
      <c r="E384" s="64" t="s">
        <v>958</v>
      </c>
    </row>
    <row r="385" spans="1:5" s="98" customFormat="1" ht="15" customHeight="1" x14ac:dyDescent="0.2">
      <c r="A385" s="68"/>
      <c r="B385" s="68"/>
      <c r="C385" s="64"/>
      <c r="D385" s="230" t="s">
        <v>959</v>
      </c>
      <c r="E385" s="64" t="s">
        <v>958</v>
      </c>
    </row>
    <row r="386" spans="1:5" s="98" customFormat="1" ht="15" customHeight="1" x14ac:dyDescent="0.2">
      <c r="A386" s="68"/>
      <c r="B386" s="68"/>
      <c r="C386" s="64"/>
      <c r="D386" s="230" t="s">
        <v>959</v>
      </c>
      <c r="E386" s="64" t="s">
        <v>958</v>
      </c>
    </row>
    <row r="387" spans="1:5" s="98" customFormat="1" ht="15" customHeight="1" x14ac:dyDescent="0.2">
      <c r="A387" s="68"/>
      <c r="B387" s="68"/>
      <c r="C387" s="64"/>
      <c r="D387" s="230" t="s">
        <v>959</v>
      </c>
      <c r="E387" s="64" t="s">
        <v>958</v>
      </c>
    </row>
    <row r="388" spans="1:5" s="98" customFormat="1" ht="15" customHeight="1" x14ac:dyDescent="0.2">
      <c r="A388" s="68"/>
      <c r="B388" s="68"/>
      <c r="C388" s="64"/>
      <c r="D388" s="230" t="s">
        <v>959</v>
      </c>
      <c r="E388" s="64" t="s">
        <v>958</v>
      </c>
    </row>
    <row r="389" spans="1:5" s="98" customFormat="1" ht="15" customHeight="1" x14ac:dyDescent="0.2">
      <c r="A389" s="68"/>
      <c r="B389" s="68"/>
      <c r="C389" s="64"/>
      <c r="D389" s="230" t="s">
        <v>959</v>
      </c>
      <c r="E389" s="64" t="s">
        <v>958</v>
      </c>
    </row>
    <row r="390" spans="1:5" s="98" customFormat="1" ht="15" customHeight="1" x14ac:dyDescent="0.2">
      <c r="A390" s="68"/>
      <c r="B390" s="68"/>
      <c r="C390" s="64"/>
      <c r="D390" s="230" t="s">
        <v>959</v>
      </c>
      <c r="E390" s="64" t="s">
        <v>958</v>
      </c>
    </row>
    <row r="391" spans="1:5" s="98" customFormat="1" ht="15" customHeight="1" x14ac:dyDescent="0.2">
      <c r="A391" s="68"/>
      <c r="B391" s="68"/>
      <c r="C391" s="64"/>
      <c r="D391" s="230" t="s">
        <v>959</v>
      </c>
      <c r="E391" s="64" t="s">
        <v>958</v>
      </c>
    </row>
    <row r="392" spans="1:5" s="98" customFormat="1" ht="15" customHeight="1" x14ac:dyDescent="0.2">
      <c r="A392" s="68"/>
      <c r="B392" s="68"/>
      <c r="C392" s="64"/>
      <c r="D392" s="230" t="s">
        <v>959</v>
      </c>
      <c r="E392" s="64" t="s">
        <v>958</v>
      </c>
    </row>
    <row r="393" spans="1:5" s="98" customFormat="1" ht="15" customHeight="1" x14ac:dyDescent="0.2">
      <c r="A393" s="68"/>
      <c r="B393" s="68"/>
      <c r="C393" s="64"/>
      <c r="D393" s="230" t="s">
        <v>959</v>
      </c>
      <c r="E393" s="64" t="s">
        <v>958</v>
      </c>
    </row>
    <row r="394" spans="1:5" s="98" customFormat="1" ht="15" customHeight="1" x14ac:dyDescent="0.2">
      <c r="A394" s="68"/>
      <c r="B394" s="68"/>
      <c r="C394" s="64"/>
      <c r="D394" s="230" t="s">
        <v>959</v>
      </c>
      <c r="E394" s="64" t="s">
        <v>958</v>
      </c>
    </row>
    <row r="395" spans="1:5" s="98" customFormat="1" ht="15" customHeight="1" x14ac:dyDescent="0.2">
      <c r="A395" s="68"/>
      <c r="B395" s="68"/>
      <c r="C395" s="64"/>
      <c r="D395" s="230" t="s">
        <v>959</v>
      </c>
      <c r="E395" s="64" t="s">
        <v>958</v>
      </c>
    </row>
    <row r="396" spans="1:5" s="98" customFormat="1" ht="15" customHeight="1" x14ac:dyDescent="0.2">
      <c r="A396" s="68"/>
      <c r="B396" s="68"/>
      <c r="C396" s="64"/>
      <c r="D396" s="230" t="s">
        <v>959</v>
      </c>
      <c r="E396" s="64" t="s">
        <v>958</v>
      </c>
    </row>
    <row r="397" spans="1:5" s="98" customFormat="1" ht="15" customHeight="1" x14ac:dyDescent="0.2">
      <c r="A397" s="68"/>
      <c r="B397" s="68"/>
      <c r="C397" s="64"/>
      <c r="D397" s="230" t="s">
        <v>959</v>
      </c>
      <c r="E397" s="64" t="s">
        <v>958</v>
      </c>
    </row>
    <row r="398" spans="1:5" s="98" customFormat="1" ht="15" customHeight="1" x14ac:dyDescent="0.2">
      <c r="A398" s="68"/>
      <c r="B398" s="68"/>
      <c r="C398" s="64"/>
      <c r="D398" s="230" t="s">
        <v>959</v>
      </c>
      <c r="E398" s="64" t="s">
        <v>958</v>
      </c>
    </row>
    <row r="399" spans="1:5" s="98" customFormat="1" ht="15" customHeight="1" x14ac:dyDescent="0.2">
      <c r="A399" s="68"/>
      <c r="B399" s="68"/>
      <c r="C399" s="64"/>
      <c r="D399" s="230" t="s">
        <v>959</v>
      </c>
      <c r="E399" s="64" t="s">
        <v>958</v>
      </c>
    </row>
    <row r="400" spans="1:5" s="98" customFormat="1" ht="15" customHeight="1" x14ac:dyDescent="0.2">
      <c r="A400" s="68"/>
      <c r="B400" s="68"/>
      <c r="C400" s="64"/>
      <c r="D400" s="230" t="s">
        <v>959</v>
      </c>
      <c r="E400" s="64" t="s">
        <v>958</v>
      </c>
    </row>
    <row r="401" spans="1:5" s="98" customFormat="1" ht="15" customHeight="1" x14ac:dyDescent="0.2">
      <c r="A401" s="68"/>
      <c r="B401" s="68"/>
      <c r="C401" s="64"/>
      <c r="D401" s="230" t="s">
        <v>959</v>
      </c>
      <c r="E401" s="64" t="s">
        <v>958</v>
      </c>
    </row>
    <row r="402" spans="1:5" s="98" customFormat="1" ht="15" customHeight="1" x14ac:dyDescent="0.2">
      <c r="A402" s="68"/>
      <c r="B402" s="68"/>
      <c r="C402" s="64"/>
      <c r="D402" s="230" t="s">
        <v>959</v>
      </c>
      <c r="E402" s="64" t="s">
        <v>958</v>
      </c>
    </row>
    <row r="403" spans="1:5" s="98" customFormat="1" ht="15" customHeight="1" x14ac:dyDescent="0.2">
      <c r="A403" s="68"/>
      <c r="B403" s="68"/>
      <c r="C403" s="64"/>
      <c r="D403" s="230" t="s">
        <v>959</v>
      </c>
      <c r="E403" s="64" t="s">
        <v>958</v>
      </c>
    </row>
    <row r="404" spans="1:5" s="98" customFormat="1" ht="15" customHeight="1" x14ac:dyDescent="0.2">
      <c r="A404" s="68"/>
      <c r="B404" s="68"/>
      <c r="C404" s="64"/>
      <c r="D404" s="230" t="s">
        <v>959</v>
      </c>
      <c r="E404" s="64" t="s">
        <v>958</v>
      </c>
    </row>
    <row r="405" spans="1:5" s="98" customFormat="1" ht="15" customHeight="1" x14ac:dyDescent="0.2">
      <c r="A405" s="68"/>
      <c r="B405" s="68"/>
      <c r="C405" s="64"/>
      <c r="D405" s="230" t="s">
        <v>959</v>
      </c>
      <c r="E405" s="64" t="s">
        <v>958</v>
      </c>
    </row>
    <row r="406" spans="1:5" s="98" customFormat="1" ht="15" customHeight="1" x14ac:dyDescent="0.2">
      <c r="A406" s="68"/>
      <c r="B406" s="68"/>
      <c r="C406" s="64"/>
      <c r="D406" s="230" t="s">
        <v>959</v>
      </c>
      <c r="E406" s="64" t="s">
        <v>958</v>
      </c>
    </row>
    <row r="407" spans="1:5" s="98" customFormat="1" ht="15" customHeight="1" x14ac:dyDescent="0.2">
      <c r="A407" s="68"/>
      <c r="B407" s="68"/>
      <c r="C407" s="64"/>
      <c r="D407" s="230" t="s">
        <v>959</v>
      </c>
      <c r="E407" s="64" t="s">
        <v>958</v>
      </c>
    </row>
    <row r="408" spans="1:5" s="98" customFormat="1" ht="15" customHeight="1" x14ac:dyDescent="0.2">
      <c r="A408" s="68"/>
      <c r="B408" s="68"/>
      <c r="C408" s="64"/>
      <c r="D408" s="230" t="s">
        <v>959</v>
      </c>
      <c r="E408" s="64" t="s">
        <v>958</v>
      </c>
    </row>
    <row r="409" spans="1:5" s="98" customFormat="1" ht="15" customHeight="1" x14ac:dyDescent="0.2">
      <c r="A409" s="68"/>
      <c r="B409" s="68"/>
      <c r="C409" s="64"/>
      <c r="D409" s="230" t="s">
        <v>959</v>
      </c>
      <c r="E409" s="64" t="s">
        <v>958</v>
      </c>
    </row>
    <row r="410" spans="1:5" s="98" customFormat="1" ht="15" customHeight="1" x14ac:dyDescent="0.2">
      <c r="A410" s="68"/>
      <c r="B410" s="68"/>
      <c r="C410" s="64"/>
      <c r="D410" s="230" t="s">
        <v>959</v>
      </c>
      <c r="E410" s="64" t="s">
        <v>958</v>
      </c>
    </row>
    <row r="411" spans="1:5" s="98" customFormat="1" ht="15" customHeight="1" x14ac:dyDescent="0.2">
      <c r="A411" s="68"/>
      <c r="B411" s="68"/>
      <c r="C411" s="64"/>
      <c r="D411" s="230" t="s">
        <v>959</v>
      </c>
      <c r="E411" s="64" t="s">
        <v>958</v>
      </c>
    </row>
    <row r="412" spans="1:5" s="98" customFormat="1" ht="15" customHeight="1" x14ac:dyDescent="0.2">
      <c r="A412" s="68"/>
      <c r="B412" s="68"/>
      <c r="C412" s="64"/>
      <c r="D412" s="230" t="s">
        <v>959</v>
      </c>
      <c r="E412" s="64" t="s">
        <v>958</v>
      </c>
    </row>
    <row r="413" spans="1:5" s="98" customFormat="1" ht="15" customHeight="1" x14ac:dyDescent="0.2">
      <c r="A413" s="68"/>
      <c r="B413" s="68"/>
      <c r="C413" s="64"/>
      <c r="D413" s="230" t="s">
        <v>959</v>
      </c>
      <c r="E413" s="64" t="s">
        <v>958</v>
      </c>
    </row>
    <row r="414" spans="1:5" s="98" customFormat="1" ht="15" customHeight="1" x14ac:dyDescent="0.2">
      <c r="A414" s="68"/>
      <c r="B414" s="68"/>
      <c r="C414" s="64"/>
      <c r="D414" s="230" t="s">
        <v>959</v>
      </c>
      <c r="E414" s="64" t="s">
        <v>958</v>
      </c>
    </row>
    <row r="415" spans="1:5" s="98" customFormat="1" ht="15" customHeight="1" x14ac:dyDescent="0.2">
      <c r="A415" s="68"/>
      <c r="B415" s="68"/>
      <c r="C415" s="64"/>
      <c r="D415" s="230" t="s">
        <v>959</v>
      </c>
      <c r="E415" s="64" t="s">
        <v>958</v>
      </c>
    </row>
    <row r="416" spans="1:5" s="98" customFormat="1" ht="15" customHeight="1" x14ac:dyDescent="0.2">
      <c r="A416" s="68"/>
      <c r="B416" s="68"/>
      <c r="C416" s="64"/>
      <c r="D416" s="230" t="s">
        <v>959</v>
      </c>
      <c r="E416" s="64" t="s">
        <v>958</v>
      </c>
    </row>
    <row r="417" spans="1:5" s="98" customFormat="1" ht="15" customHeight="1" x14ac:dyDescent="0.2">
      <c r="A417" s="68"/>
      <c r="B417" s="68"/>
      <c r="C417" s="64"/>
      <c r="D417" s="230" t="s">
        <v>959</v>
      </c>
      <c r="E417" s="64" t="s">
        <v>958</v>
      </c>
    </row>
    <row r="418" spans="1:5" s="98" customFormat="1" ht="15" customHeight="1" x14ac:dyDescent="0.2">
      <c r="A418" s="68"/>
      <c r="B418" s="68"/>
      <c r="C418" s="64"/>
      <c r="D418" s="230" t="s">
        <v>959</v>
      </c>
      <c r="E418" s="64" t="s">
        <v>958</v>
      </c>
    </row>
    <row r="419" spans="1:5" s="98" customFormat="1" ht="15" customHeight="1" x14ac:dyDescent="0.2">
      <c r="A419" s="68"/>
      <c r="B419" s="68"/>
      <c r="C419" s="64"/>
      <c r="D419" s="230" t="s">
        <v>959</v>
      </c>
      <c r="E419" s="64" t="s">
        <v>958</v>
      </c>
    </row>
    <row r="420" spans="1:5" s="98" customFormat="1" ht="15" customHeight="1" x14ac:dyDescent="0.2">
      <c r="A420" s="68"/>
      <c r="B420" s="68"/>
      <c r="C420" s="64"/>
      <c r="D420" s="230" t="s">
        <v>959</v>
      </c>
      <c r="E420" s="64" t="s">
        <v>958</v>
      </c>
    </row>
    <row r="421" spans="1:5" s="98" customFormat="1" ht="15" customHeight="1" x14ac:dyDescent="0.2">
      <c r="A421" s="68"/>
      <c r="B421" s="68"/>
      <c r="C421" s="64"/>
      <c r="D421" s="230" t="s">
        <v>959</v>
      </c>
      <c r="E421" s="64" t="s">
        <v>958</v>
      </c>
    </row>
    <row r="422" spans="1:5" s="98" customFormat="1" ht="15" customHeight="1" x14ac:dyDescent="0.2">
      <c r="A422" s="68"/>
      <c r="B422" s="68"/>
      <c r="C422" s="64"/>
      <c r="D422" s="230" t="s">
        <v>959</v>
      </c>
      <c r="E422" s="64" t="s">
        <v>958</v>
      </c>
    </row>
    <row r="423" spans="1:5" s="98" customFormat="1" ht="15" customHeight="1" x14ac:dyDescent="0.2">
      <c r="A423" s="68"/>
      <c r="B423" s="68"/>
      <c r="C423" s="64"/>
      <c r="D423" s="230" t="s">
        <v>959</v>
      </c>
      <c r="E423" s="64" t="s">
        <v>958</v>
      </c>
    </row>
    <row r="424" spans="1:5" s="98" customFormat="1" ht="15" customHeight="1" x14ac:dyDescent="0.2">
      <c r="A424" s="68"/>
      <c r="B424" s="68"/>
      <c r="C424" s="64"/>
      <c r="D424" s="230" t="s">
        <v>959</v>
      </c>
      <c r="E424" s="64" t="s">
        <v>958</v>
      </c>
    </row>
    <row r="425" spans="1:5" s="98" customFormat="1" ht="15" customHeight="1" x14ac:dyDescent="0.2">
      <c r="A425" s="68"/>
      <c r="B425" s="68"/>
      <c r="C425" s="64"/>
      <c r="D425" s="230" t="s">
        <v>959</v>
      </c>
      <c r="E425" s="64" t="s">
        <v>958</v>
      </c>
    </row>
    <row r="426" spans="1:5" s="98" customFormat="1" ht="15" customHeight="1" x14ac:dyDescent="0.2">
      <c r="A426" s="68"/>
      <c r="B426" s="68"/>
      <c r="C426" s="64"/>
      <c r="D426" s="230" t="s">
        <v>959</v>
      </c>
      <c r="E426" s="64" t="s">
        <v>958</v>
      </c>
    </row>
    <row r="427" spans="1:5" s="98" customFormat="1" ht="15" customHeight="1" x14ac:dyDescent="0.2">
      <c r="A427" s="68"/>
      <c r="B427" s="68"/>
      <c r="C427" s="64"/>
      <c r="D427" s="230" t="s">
        <v>959</v>
      </c>
      <c r="E427" s="64" t="s">
        <v>958</v>
      </c>
    </row>
    <row r="428" spans="1:5" s="98" customFormat="1" ht="15" customHeight="1" x14ac:dyDescent="0.2">
      <c r="A428" s="68"/>
      <c r="B428" s="68"/>
      <c r="C428" s="64"/>
      <c r="D428" s="230" t="s">
        <v>959</v>
      </c>
      <c r="E428" s="64" t="s">
        <v>958</v>
      </c>
    </row>
    <row r="429" spans="1:5" s="98" customFormat="1" ht="15" customHeight="1" x14ac:dyDescent="0.2">
      <c r="A429" s="68"/>
      <c r="B429" s="68"/>
      <c r="C429" s="64"/>
      <c r="D429" s="230" t="s">
        <v>959</v>
      </c>
      <c r="E429" s="64" t="s">
        <v>958</v>
      </c>
    </row>
    <row r="430" spans="1:5" s="98" customFormat="1" ht="15" customHeight="1" x14ac:dyDescent="0.2">
      <c r="A430" s="68"/>
      <c r="B430" s="68"/>
      <c r="C430" s="64"/>
      <c r="D430" s="230" t="s">
        <v>959</v>
      </c>
      <c r="E430" s="64" t="s">
        <v>958</v>
      </c>
    </row>
    <row r="431" spans="1:5" s="98" customFormat="1" ht="15" customHeight="1" x14ac:dyDescent="0.2">
      <c r="A431" s="68"/>
      <c r="B431" s="68"/>
      <c r="C431" s="64"/>
      <c r="D431" s="230" t="s">
        <v>959</v>
      </c>
      <c r="E431" s="64" t="s">
        <v>958</v>
      </c>
    </row>
    <row r="432" spans="1:5" s="98" customFormat="1" ht="15" customHeight="1" x14ac:dyDescent="0.2">
      <c r="A432" s="68"/>
      <c r="B432" s="68"/>
      <c r="C432" s="64"/>
      <c r="D432" s="230" t="s">
        <v>959</v>
      </c>
      <c r="E432" s="64" t="s">
        <v>958</v>
      </c>
    </row>
    <row r="433" spans="1:5" s="98" customFormat="1" ht="15" customHeight="1" x14ac:dyDescent="0.2">
      <c r="A433" s="68"/>
      <c r="B433" s="68"/>
      <c r="C433" s="64"/>
      <c r="D433" s="230" t="s">
        <v>959</v>
      </c>
      <c r="E433" s="64" t="s">
        <v>958</v>
      </c>
    </row>
    <row r="434" spans="1:5" s="98" customFormat="1" ht="15" customHeight="1" x14ac:dyDescent="0.2">
      <c r="A434" s="68"/>
      <c r="B434" s="68"/>
      <c r="C434" s="64"/>
      <c r="D434" s="230" t="s">
        <v>959</v>
      </c>
      <c r="E434" s="64" t="s">
        <v>958</v>
      </c>
    </row>
    <row r="435" spans="1:5" s="98" customFormat="1" ht="15" customHeight="1" x14ac:dyDescent="0.2">
      <c r="A435" s="68"/>
      <c r="B435" s="68"/>
      <c r="C435" s="64"/>
      <c r="D435" s="230" t="s">
        <v>959</v>
      </c>
      <c r="E435" s="64" t="s">
        <v>958</v>
      </c>
    </row>
    <row r="436" spans="1:5" s="98" customFormat="1" ht="15" customHeight="1" x14ac:dyDescent="0.2">
      <c r="A436" s="68"/>
      <c r="B436" s="68"/>
      <c r="C436" s="64"/>
      <c r="D436" s="230" t="s">
        <v>959</v>
      </c>
      <c r="E436" s="64" t="s">
        <v>958</v>
      </c>
    </row>
    <row r="437" spans="1:5" s="98" customFormat="1" ht="15" customHeight="1" x14ac:dyDescent="0.2">
      <c r="A437" s="68"/>
      <c r="B437" s="68"/>
      <c r="C437" s="64"/>
      <c r="D437" s="230" t="s">
        <v>959</v>
      </c>
      <c r="E437" s="64" t="s">
        <v>958</v>
      </c>
    </row>
    <row r="438" spans="1:5" s="98" customFormat="1" ht="15" customHeight="1" x14ac:dyDescent="0.2">
      <c r="A438" s="68"/>
      <c r="B438" s="68"/>
      <c r="C438" s="64"/>
      <c r="D438" s="230" t="s">
        <v>959</v>
      </c>
      <c r="E438" s="64" t="s">
        <v>958</v>
      </c>
    </row>
    <row r="439" spans="1:5" s="98" customFormat="1" ht="15" customHeight="1" x14ac:dyDescent="0.2">
      <c r="A439" s="68"/>
      <c r="B439" s="68"/>
      <c r="C439" s="64"/>
      <c r="D439" s="230" t="s">
        <v>959</v>
      </c>
      <c r="E439" s="64" t="s">
        <v>958</v>
      </c>
    </row>
    <row r="440" spans="1:5" s="98" customFormat="1" ht="15" customHeight="1" x14ac:dyDescent="0.2">
      <c r="A440" s="68"/>
      <c r="B440" s="68"/>
      <c r="C440" s="64"/>
      <c r="D440" s="230" t="s">
        <v>959</v>
      </c>
      <c r="E440" s="64" t="s">
        <v>958</v>
      </c>
    </row>
    <row r="441" spans="1:5" s="98" customFormat="1" ht="15" customHeight="1" x14ac:dyDescent="0.2">
      <c r="A441" s="68"/>
      <c r="B441" s="68"/>
      <c r="C441" s="64"/>
      <c r="D441" s="230" t="s">
        <v>959</v>
      </c>
      <c r="E441" s="64" t="s">
        <v>958</v>
      </c>
    </row>
    <row r="442" spans="1:5" s="98" customFormat="1" ht="15" customHeight="1" x14ac:dyDescent="0.2">
      <c r="A442" s="68"/>
      <c r="B442" s="68"/>
      <c r="C442" s="64"/>
      <c r="D442" s="230" t="s">
        <v>959</v>
      </c>
      <c r="E442" s="64" t="s">
        <v>958</v>
      </c>
    </row>
    <row r="443" spans="1:5" s="98" customFormat="1" ht="15" customHeight="1" x14ac:dyDescent="0.2">
      <c r="A443" s="68"/>
      <c r="B443" s="68"/>
      <c r="C443" s="64"/>
      <c r="D443" s="230" t="s">
        <v>959</v>
      </c>
      <c r="E443" s="64" t="s">
        <v>958</v>
      </c>
    </row>
    <row r="444" spans="1:5" s="98" customFormat="1" ht="15" customHeight="1" x14ac:dyDescent="0.2">
      <c r="A444" s="68"/>
      <c r="B444" s="68"/>
      <c r="C444" s="64"/>
      <c r="D444" s="230" t="s">
        <v>959</v>
      </c>
      <c r="E444" s="64" t="s">
        <v>958</v>
      </c>
    </row>
    <row r="445" spans="1:5" s="98" customFormat="1" ht="15" customHeight="1" x14ac:dyDescent="0.2">
      <c r="A445" s="68"/>
      <c r="B445" s="68"/>
      <c r="C445" s="64"/>
      <c r="D445" s="230" t="s">
        <v>959</v>
      </c>
      <c r="E445" s="64" t="s">
        <v>958</v>
      </c>
    </row>
    <row r="446" spans="1:5" s="98" customFormat="1" ht="15" customHeight="1" x14ac:dyDescent="0.2">
      <c r="A446" s="68"/>
      <c r="B446" s="68"/>
      <c r="C446" s="64"/>
      <c r="D446" s="230" t="s">
        <v>959</v>
      </c>
      <c r="E446" s="64" t="s">
        <v>958</v>
      </c>
    </row>
    <row r="447" spans="1:5" s="98" customFormat="1" ht="15" customHeight="1" x14ac:dyDescent="0.2">
      <c r="A447" s="68"/>
      <c r="B447" s="68"/>
      <c r="C447" s="64"/>
      <c r="D447" s="230" t="s">
        <v>959</v>
      </c>
      <c r="E447" s="64" t="s">
        <v>958</v>
      </c>
    </row>
    <row r="448" spans="1:5" s="98" customFormat="1" ht="15" customHeight="1" x14ac:dyDescent="0.2">
      <c r="A448" s="68"/>
      <c r="B448" s="68"/>
      <c r="C448" s="64"/>
      <c r="D448" s="230" t="s">
        <v>959</v>
      </c>
      <c r="E448" s="64" t="s">
        <v>958</v>
      </c>
    </row>
    <row r="449" spans="1:5" s="98" customFormat="1" ht="15" customHeight="1" x14ac:dyDescent="0.2">
      <c r="A449" s="68"/>
      <c r="B449" s="68"/>
      <c r="C449" s="64"/>
      <c r="D449" s="230" t="s">
        <v>959</v>
      </c>
      <c r="E449" s="64" t="s">
        <v>958</v>
      </c>
    </row>
    <row r="450" spans="1:5" s="98" customFormat="1" ht="15" customHeight="1" x14ac:dyDescent="0.2">
      <c r="A450" s="68"/>
      <c r="B450" s="68"/>
      <c r="C450" s="64"/>
      <c r="D450" s="230" t="s">
        <v>959</v>
      </c>
      <c r="E450" s="64" t="s">
        <v>958</v>
      </c>
    </row>
    <row r="451" spans="1:5" s="98" customFormat="1" ht="15" customHeight="1" x14ac:dyDescent="0.2">
      <c r="A451" s="68"/>
      <c r="B451" s="68"/>
      <c r="C451" s="64"/>
      <c r="D451" s="230" t="s">
        <v>959</v>
      </c>
      <c r="E451" s="64" t="s">
        <v>958</v>
      </c>
    </row>
    <row r="452" spans="1:5" s="98" customFormat="1" ht="15" customHeight="1" x14ac:dyDescent="0.2">
      <c r="A452" s="68"/>
      <c r="B452" s="68"/>
      <c r="C452" s="64"/>
      <c r="D452" s="230" t="s">
        <v>959</v>
      </c>
      <c r="E452" s="64" t="s">
        <v>958</v>
      </c>
    </row>
    <row r="453" spans="1:5" s="98" customFormat="1" ht="15" customHeight="1" x14ac:dyDescent="0.2">
      <c r="A453" s="68"/>
      <c r="B453" s="68"/>
      <c r="C453" s="64"/>
      <c r="D453" s="230" t="s">
        <v>959</v>
      </c>
      <c r="E453" s="64" t="s">
        <v>958</v>
      </c>
    </row>
    <row r="454" spans="1:5" s="98" customFormat="1" ht="15" customHeight="1" x14ac:dyDescent="0.2">
      <c r="A454" s="68"/>
      <c r="B454" s="68"/>
      <c r="C454" s="64"/>
      <c r="D454" s="230" t="s">
        <v>959</v>
      </c>
      <c r="E454" s="64" t="s">
        <v>958</v>
      </c>
    </row>
    <row r="455" spans="1:5" s="98" customFormat="1" ht="15" customHeight="1" x14ac:dyDescent="0.2">
      <c r="A455" s="68"/>
      <c r="B455" s="68"/>
      <c r="C455" s="64"/>
      <c r="D455" s="230" t="s">
        <v>959</v>
      </c>
      <c r="E455" s="64" t="s">
        <v>958</v>
      </c>
    </row>
    <row r="456" spans="1:5" s="98" customFormat="1" ht="15" customHeight="1" x14ac:dyDescent="0.2">
      <c r="A456" s="68"/>
      <c r="B456" s="68"/>
      <c r="C456" s="64"/>
      <c r="D456" s="230" t="s">
        <v>959</v>
      </c>
      <c r="E456" s="64" t="s">
        <v>958</v>
      </c>
    </row>
    <row r="457" spans="1:5" s="98" customFormat="1" ht="15" customHeight="1" x14ac:dyDescent="0.2">
      <c r="A457" s="68"/>
      <c r="B457" s="68"/>
      <c r="C457" s="64"/>
      <c r="D457" s="230" t="s">
        <v>959</v>
      </c>
      <c r="E457" s="64" t="s">
        <v>958</v>
      </c>
    </row>
    <row r="458" spans="1:5" s="98" customFormat="1" ht="15" customHeight="1" x14ac:dyDescent="0.2">
      <c r="A458" s="68"/>
      <c r="B458" s="68"/>
      <c r="C458" s="64"/>
      <c r="D458" s="230" t="s">
        <v>959</v>
      </c>
      <c r="E458" s="64" t="s">
        <v>958</v>
      </c>
    </row>
    <row r="459" spans="1:5" s="98" customFormat="1" ht="15" customHeight="1" x14ac:dyDescent="0.2">
      <c r="A459" s="68"/>
      <c r="B459" s="68"/>
      <c r="C459" s="64"/>
      <c r="D459" s="230" t="s">
        <v>959</v>
      </c>
      <c r="E459" s="64" t="s">
        <v>958</v>
      </c>
    </row>
    <row r="460" spans="1:5" s="98" customFormat="1" ht="15" customHeight="1" x14ac:dyDescent="0.2">
      <c r="A460" s="68"/>
      <c r="B460" s="68"/>
      <c r="C460" s="64"/>
      <c r="D460" s="230" t="s">
        <v>959</v>
      </c>
      <c r="E460" s="64" t="s">
        <v>958</v>
      </c>
    </row>
    <row r="461" spans="1:5" s="98" customFormat="1" ht="15" customHeight="1" x14ac:dyDescent="0.2">
      <c r="A461" s="68"/>
      <c r="B461" s="68"/>
      <c r="C461" s="64"/>
      <c r="D461" s="230" t="s">
        <v>959</v>
      </c>
      <c r="E461" s="64" t="s">
        <v>958</v>
      </c>
    </row>
    <row r="462" spans="1:5" s="98" customFormat="1" ht="15" customHeight="1" x14ac:dyDescent="0.2">
      <c r="A462" s="68"/>
      <c r="B462" s="68"/>
      <c r="C462" s="64"/>
      <c r="D462" s="230" t="s">
        <v>959</v>
      </c>
      <c r="E462" s="64" t="s">
        <v>958</v>
      </c>
    </row>
    <row r="463" spans="1:5" s="98" customFormat="1" ht="15" customHeight="1" x14ac:dyDescent="0.2">
      <c r="A463" s="68"/>
      <c r="B463" s="68"/>
      <c r="C463" s="64"/>
      <c r="D463" s="230" t="s">
        <v>959</v>
      </c>
      <c r="E463" s="64" t="s">
        <v>958</v>
      </c>
    </row>
    <row r="464" spans="1:5" s="98" customFormat="1" ht="15" customHeight="1" x14ac:dyDescent="0.2">
      <c r="A464" s="68"/>
      <c r="B464" s="68"/>
      <c r="C464" s="64"/>
      <c r="D464" s="230" t="s">
        <v>959</v>
      </c>
      <c r="E464" s="64" t="s">
        <v>958</v>
      </c>
    </row>
    <row r="465" spans="1:5" s="98" customFormat="1" ht="15" customHeight="1" x14ac:dyDescent="0.2">
      <c r="A465" s="68"/>
      <c r="B465" s="68"/>
      <c r="C465" s="64"/>
      <c r="D465" s="230" t="s">
        <v>959</v>
      </c>
      <c r="E465" s="64" t="s">
        <v>958</v>
      </c>
    </row>
    <row r="466" spans="1:5" s="98" customFormat="1" ht="15" customHeight="1" x14ac:dyDescent="0.2">
      <c r="A466" s="68"/>
      <c r="B466" s="68"/>
      <c r="C466" s="64"/>
      <c r="D466" s="230" t="s">
        <v>959</v>
      </c>
      <c r="E466" s="64" t="s">
        <v>958</v>
      </c>
    </row>
    <row r="467" spans="1:5" s="98" customFormat="1" ht="15" customHeight="1" x14ac:dyDescent="0.2">
      <c r="A467" s="68"/>
      <c r="B467" s="68"/>
      <c r="C467" s="64"/>
      <c r="D467" s="230" t="s">
        <v>959</v>
      </c>
      <c r="E467" s="64" t="s">
        <v>958</v>
      </c>
    </row>
    <row r="468" spans="1:5" s="98" customFormat="1" ht="15" customHeight="1" x14ac:dyDescent="0.2">
      <c r="A468" s="68"/>
      <c r="B468" s="68"/>
      <c r="C468" s="64"/>
      <c r="D468" s="230" t="s">
        <v>959</v>
      </c>
      <c r="E468" s="64" t="s">
        <v>958</v>
      </c>
    </row>
    <row r="469" spans="1:5" s="98" customFormat="1" ht="15" customHeight="1" x14ac:dyDescent="0.2">
      <c r="A469" s="68"/>
      <c r="B469" s="68"/>
      <c r="C469" s="64"/>
      <c r="D469" s="230" t="s">
        <v>959</v>
      </c>
      <c r="E469" s="64" t="s">
        <v>958</v>
      </c>
    </row>
    <row r="470" spans="1:5" s="98" customFormat="1" ht="15" customHeight="1" x14ac:dyDescent="0.2">
      <c r="A470" s="68"/>
      <c r="B470" s="68"/>
      <c r="C470" s="64"/>
      <c r="D470" s="230" t="s">
        <v>959</v>
      </c>
      <c r="E470" s="64" t="s">
        <v>958</v>
      </c>
    </row>
    <row r="471" spans="1:5" s="98" customFormat="1" ht="15" customHeight="1" x14ac:dyDescent="0.2">
      <c r="A471" s="68"/>
      <c r="B471" s="68"/>
      <c r="C471" s="64"/>
      <c r="D471" s="230" t="s">
        <v>959</v>
      </c>
      <c r="E471" s="64" t="s">
        <v>958</v>
      </c>
    </row>
    <row r="472" spans="1:5" s="98" customFormat="1" ht="15" customHeight="1" x14ac:dyDescent="0.2">
      <c r="A472" s="68"/>
      <c r="B472" s="68"/>
      <c r="C472" s="64"/>
      <c r="D472" s="230" t="s">
        <v>959</v>
      </c>
      <c r="E472" s="64" t="s">
        <v>958</v>
      </c>
    </row>
    <row r="473" spans="1:5" s="98" customFormat="1" ht="15" customHeight="1" x14ac:dyDescent="0.2">
      <c r="A473" s="68"/>
      <c r="B473" s="68"/>
      <c r="C473" s="64"/>
      <c r="D473" s="230" t="s">
        <v>959</v>
      </c>
      <c r="E473" s="64" t="s">
        <v>958</v>
      </c>
    </row>
    <row r="474" spans="1:5" s="98" customFormat="1" ht="15" customHeight="1" x14ac:dyDescent="0.2">
      <c r="A474" s="68"/>
      <c r="B474" s="68"/>
      <c r="C474" s="64"/>
      <c r="D474" s="230" t="s">
        <v>959</v>
      </c>
      <c r="E474" s="64" t="s">
        <v>958</v>
      </c>
    </row>
    <row r="475" spans="1:5" s="98" customFormat="1" ht="15" customHeight="1" x14ac:dyDescent="0.2">
      <c r="A475" s="68"/>
      <c r="B475" s="68"/>
      <c r="C475" s="64"/>
      <c r="D475" s="230" t="s">
        <v>959</v>
      </c>
      <c r="E475" s="64" t="s">
        <v>958</v>
      </c>
    </row>
    <row r="476" spans="1:5" s="98" customFormat="1" ht="15" customHeight="1" x14ac:dyDescent="0.2">
      <c r="A476" s="68"/>
      <c r="B476" s="68"/>
      <c r="C476" s="64"/>
      <c r="D476" s="230" t="s">
        <v>959</v>
      </c>
      <c r="E476" s="64" t="s">
        <v>958</v>
      </c>
    </row>
    <row r="477" spans="1:5" s="98" customFormat="1" ht="15" customHeight="1" x14ac:dyDescent="0.2">
      <c r="A477" s="68"/>
      <c r="B477" s="68"/>
      <c r="C477" s="64"/>
      <c r="D477" s="230" t="s">
        <v>959</v>
      </c>
      <c r="E477" s="64" t="s">
        <v>958</v>
      </c>
    </row>
    <row r="478" spans="1:5" s="98" customFormat="1" ht="15" customHeight="1" x14ac:dyDescent="0.2">
      <c r="A478" s="68"/>
      <c r="B478" s="68"/>
      <c r="C478" s="64"/>
      <c r="D478" s="230" t="s">
        <v>959</v>
      </c>
      <c r="E478" s="64" t="s">
        <v>958</v>
      </c>
    </row>
    <row r="479" spans="1:5" s="98" customFormat="1" ht="15" customHeight="1" x14ac:dyDescent="0.2">
      <c r="A479" s="68"/>
      <c r="B479" s="68"/>
      <c r="C479" s="64"/>
      <c r="D479" s="230" t="s">
        <v>959</v>
      </c>
      <c r="E479" s="64" t="s">
        <v>958</v>
      </c>
    </row>
    <row r="480" spans="1:5" s="98" customFormat="1" ht="15" customHeight="1" x14ac:dyDescent="0.2">
      <c r="A480" s="68"/>
      <c r="B480" s="68"/>
      <c r="C480" s="64"/>
      <c r="D480" s="230" t="s">
        <v>959</v>
      </c>
      <c r="E480" s="64" t="s">
        <v>958</v>
      </c>
    </row>
    <row r="481" spans="1:5" s="98" customFormat="1" ht="15" customHeight="1" x14ac:dyDescent="0.2">
      <c r="A481" s="68"/>
      <c r="B481" s="68"/>
      <c r="C481" s="64"/>
      <c r="D481" s="230" t="s">
        <v>959</v>
      </c>
      <c r="E481" s="64" t="s">
        <v>958</v>
      </c>
    </row>
    <row r="482" spans="1:5" s="98" customFormat="1" ht="15" customHeight="1" x14ac:dyDescent="0.2">
      <c r="A482" s="68"/>
      <c r="B482" s="68"/>
      <c r="C482" s="64"/>
      <c r="D482" s="230" t="s">
        <v>959</v>
      </c>
      <c r="E482" s="64" t="s">
        <v>958</v>
      </c>
    </row>
    <row r="483" spans="1:5" s="98" customFormat="1" ht="15" customHeight="1" x14ac:dyDescent="0.2">
      <c r="A483" s="68"/>
      <c r="B483" s="68"/>
      <c r="C483" s="64"/>
      <c r="D483" s="230" t="s">
        <v>959</v>
      </c>
      <c r="E483" s="64" t="s">
        <v>958</v>
      </c>
    </row>
    <row r="484" spans="1:5" s="98" customFormat="1" ht="15" customHeight="1" x14ac:dyDescent="0.2">
      <c r="A484" s="68"/>
      <c r="B484" s="68"/>
      <c r="C484" s="64"/>
      <c r="D484" s="230" t="s">
        <v>959</v>
      </c>
      <c r="E484" s="64" t="s">
        <v>958</v>
      </c>
    </row>
    <row r="485" spans="1:5" s="98" customFormat="1" ht="15" customHeight="1" x14ac:dyDescent="0.2">
      <c r="A485" s="68"/>
      <c r="B485" s="68"/>
      <c r="C485" s="64"/>
      <c r="D485" s="230" t="s">
        <v>959</v>
      </c>
      <c r="E485" s="64" t="s">
        <v>958</v>
      </c>
    </row>
    <row r="486" spans="1:5" s="98" customFormat="1" ht="15" customHeight="1" x14ac:dyDescent="0.2">
      <c r="A486" s="68"/>
      <c r="B486" s="68"/>
      <c r="C486" s="64"/>
      <c r="D486" s="230" t="s">
        <v>959</v>
      </c>
      <c r="E486" s="64" t="s">
        <v>958</v>
      </c>
    </row>
    <row r="487" spans="1:5" s="98" customFormat="1" ht="15" customHeight="1" x14ac:dyDescent="0.2">
      <c r="A487" s="68"/>
      <c r="B487" s="68"/>
      <c r="C487" s="64"/>
      <c r="D487" s="230" t="s">
        <v>959</v>
      </c>
      <c r="E487" s="64" t="s">
        <v>958</v>
      </c>
    </row>
    <row r="488" spans="1:5" s="98" customFormat="1" ht="15" customHeight="1" x14ac:dyDescent="0.2">
      <c r="A488" s="68"/>
      <c r="B488" s="68"/>
      <c r="C488" s="64"/>
      <c r="D488" s="230" t="s">
        <v>959</v>
      </c>
      <c r="E488" s="64" t="s">
        <v>958</v>
      </c>
    </row>
    <row r="489" spans="1:5" s="98" customFormat="1" ht="15" customHeight="1" x14ac:dyDescent="0.2">
      <c r="A489" s="68"/>
      <c r="B489" s="68"/>
      <c r="C489" s="64"/>
      <c r="D489" s="230" t="s">
        <v>959</v>
      </c>
      <c r="E489" s="64" t="s">
        <v>958</v>
      </c>
    </row>
    <row r="490" spans="1:5" s="98" customFormat="1" ht="15" customHeight="1" x14ac:dyDescent="0.2">
      <c r="A490" s="68"/>
      <c r="B490" s="68"/>
      <c r="C490" s="64"/>
      <c r="D490" s="230" t="s">
        <v>959</v>
      </c>
      <c r="E490" s="64" t="s">
        <v>958</v>
      </c>
    </row>
    <row r="491" spans="1:5" s="98" customFormat="1" ht="15" customHeight="1" x14ac:dyDescent="0.2">
      <c r="A491" s="68"/>
      <c r="B491" s="68"/>
      <c r="C491" s="64"/>
      <c r="D491" s="230" t="s">
        <v>959</v>
      </c>
      <c r="E491" s="64" t="s">
        <v>958</v>
      </c>
    </row>
    <row r="492" spans="1:5" s="98" customFormat="1" ht="15" customHeight="1" x14ac:dyDescent="0.2">
      <c r="A492" s="68"/>
      <c r="B492" s="68"/>
      <c r="C492" s="64"/>
      <c r="D492" s="230" t="s">
        <v>959</v>
      </c>
      <c r="E492" s="64" t="s">
        <v>958</v>
      </c>
    </row>
    <row r="493" spans="1:5" s="98" customFormat="1" ht="15" customHeight="1" x14ac:dyDescent="0.2">
      <c r="A493" s="68"/>
      <c r="B493" s="68"/>
      <c r="C493" s="64"/>
      <c r="D493" s="230" t="s">
        <v>959</v>
      </c>
      <c r="E493" s="64" t="s">
        <v>958</v>
      </c>
    </row>
    <row r="494" spans="1:5" s="98" customFormat="1" ht="15" customHeight="1" x14ac:dyDescent="0.2">
      <c r="A494" s="68"/>
      <c r="B494" s="68"/>
      <c r="C494" s="64"/>
      <c r="D494" s="230" t="s">
        <v>959</v>
      </c>
      <c r="E494" s="64" t="s">
        <v>958</v>
      </c>
    </row>
    <row r="495" spans="1:5" s="98" customFormat="1" ht="15" customHeight="1" x14ac:dyDescent="0.2">
      <c r="A495" s="68"/>
      <c r="B495" s="68"/>
      <c r="C495" s="64"/>
      <c r="D495" s="230" t="s">
        <v>959</v>
      </c>
      <c r="E495" s="64" t="s">
        <v>958</v>
      </c>
    </row>
    <row r="496" spans="1:5" s="98" customFormat="1" ht="15" customHeight="1" x14ac:dyDescent="0.2">
      <c r="A496" s="68"/>
      <c r="B496" s="68"/>
      <c r="C496" s="64"/>
      <c r="D496" s="230" t="s">
        <v>959</v>
      </c>
      <c r="E496" s="64" t="s">
        <v>958</v>
      </c>
    </row>
    <row r="497" spans="1:5" s="98" customFormat="1" ht="15" customHeight="1" x14ac:dyDescent="0.2">
      <c r="A497" s="68"/>
      <c r="B497" s="68"/>
      <c r="C497" s="64"/>
      <c r="D497" s="230" t="s">
        <v>959</v>
      </c>
      <c r="E497" s="64" t="s">
        <v>958</v>
      </c>
    </row>
    <row r="498" spans="1:5" s="98" customFormat="1" ht="15" customHeight="1" x14ac:dyDescent="0.2">
      <c r="A498" s="68"/>
      <c r="B498" s="68"/>
      <c r="C498" s="64"/>
      <c r="D498" s="230" t="s">
        <v>959</v>
      </c>
      <c r="E498" s="64" t="s">
        <v>958</v>
      </c>
    </row>
    <row r="499" spans="1:5" s="98" customFormat="1" ht="15" customHeight="1" x14ac:dyDescent="0.2">
      <c r="A499" s="68"/>
      <c r="B499" s="68"/>
      <c r="C499" s="64"/>
      <c r="D499" s="230" t="s">
        <v>959</v>
      </c>
      <c r="E499" s="64" t="s">
        <v>958</v>
      </c>
    </row>
    <row r="500" spans="1:5" s="98" customFormat="1" ht="15" customHeight="1" x14ac:dyDescent="0.2">
      <c r="A500" s="68"/>
      <c r="B500" s="68"/>
      <c r="C500" s="64"/>
      <c r="D500" s="230" t="s">
        <v>959</v>
      </c>
      <c r="E500" s="64" t="s">
        <v>958</v>
      </c>
    </row>
    <row r="501" spans="1:5" s="98" customFormat="1" ht="15" customHeight="1" x14ac:dyDescent="0.2">
      <c r="A501" s="68"/>
      <c r="B501" s="68"/>
      <c r="C501" s="64"/>
      <c r="D501" s="230" t="s">
        <v>959</v>
      </c>
      <c r="E501" s="64" t="s">
        <v>958</v>
      </c>
    </row>
    <row r="502" spans="1:5" s="98" customFormat="1" ht="15" customHeight="1" x14ac:dyDescent="0.2">
      <c r="A502" s="68"/>
      <c r="B502" s="68"/>
      <c r="C502" s="64"/>
      <c r="D502" s="230" t="s">
        <v>959</v>
      </c>
      <c r="E502" s="64" t="s">
        <v>958</v>
      </c>
    </row>
    <row r="503" spans="1:5" s="98" customFormat="1" ht="15" customHeight="1" x14ac:dyDescent="0.2">
      <c r="A503" s="68"/>
      <c r="B503" s="68"/>
      <c r="C503" s="64"/>
      <c r="D503" s="230" t="s">
        <v>959</v>
      </c>
      <c r="E503" s="64" t="s">
        <v>958</v>
      </c>
    </row>
    <row r="504" spans="1:5" s="98" customFormat="1" ht="15" customHeight="1" x14ac:dyDescent="0.2">
      <c r="A504" s="68"/>
      <c r="B504" s="68"/>
      <c r="C504" s="64"/>
      <c r="D504" s="230" t="s">
        <v>959</v>
      </c>
      <c r="E504" s="64" t="s">
        <v>958</v>
      </c>
    </row>
    <row r="505" spans="1:5" s="98" customFormat="1" ht="15" customHeight="1" x14ac:dyDescent="0.2">
      <c r="A505" s="68"/>
      <c r="B505" s="68"/>
      <c r="C505" s="64"/>
      <c r="D505" s="230" t="s">
        <v>959</v>
      </c>
      <c r="E505" s="64" t="s">
        <v>958</v>
      </c>
    </row>
    <row r="506" spans="1:5" s="98" customFormat="1" ht="15" customHeight="1" x14ac:dyDescent="0.2">
      <c r="A506" s="68"/>
      <c r="B506" s="68"/>
      <c r="C506" s="64"/>
      <c r="D506" s="230" t="s">
        <v>959</v>
      </c>
      <c r="E506" s="64" t="s">
        <v>958</v>
      </c>
    </row>
    <row r="507" spans="1:5" s="98" customFormat="1" ht="15" customHeight="1" x14ac:dyDescent="0.2">
      <c r="A507" s="68"/>
      <c r="B507" s="68"/>
      <c r="C507" s="64"/>
      <c r="D507" s="230" t="s">
        <v>959</v>
      </c>
      <c r="E507" s="64" t="s">
        <v>958</v>
      </c>
    </row>
    <row r="508" spans="1:5" s="98" customFormat="1" ht="15" customHeight="1" x14ac:dyDescent="0.2">
      <c r="A508" s="68"/>
      <c r="B508" s="68"/>
      <c r="C508" s="64"/>
      <c r="D508" s="230" t="s">
        <v>959</v>
      </c>
      <c r="E508" s="64" t="s">
        <v>958</v>
      </c>
    </row>
    <row r="509" spans="1:5" s="98" customFormat="1" ht="15" customHeight="1" x14ac:dyDescent="0.2">
      <c r="A509" s="68"/>
      <c r="B509" s="68"/>
      <c r="C509" s="64"/>
      <c r="D509" s="230" t="s">
        <v>959</v>
      </c>
      <c r="E509" s="64" t="s">
        <v>958</v>
      </c>
    </row>
    <row r="510" spans="1:5" s="98" customFormat="1" ht="15" customHeight="1" x14ac:dyDescent="0.2">
      <c r="A510" s="68"/>
      <c r="B510" s="68"/>
      <c r="C510" s="64"/>
      <c r="D510" s="230" t="s">
        <v>959</v>
      </c>
      <c r="E510" s="64" t="s">
        <v>958</v>
      </c>
    </row>
    <row r="511" spans="1:5" s="98" customFormat="1" ht="15" customHeight="1" x14ac:dyDescent="0.2">
      <c r="A511" s="68"/>
      <c r="B511" s="68"/>
      <c r="C511" s="64"/>
      <c r="D511" s="230" t="s">
        <v>959</v>
      </c>
      <c r="E511" s="64" t="s">
        <v>958</v>
      </c>
    </row>
    <row r="512" spans="1:5" s="98" customFormat="1" ht="15" customHeight="1" x14ac:dyDescent="0.2">
      <c r="A512" s="68"/>
      <c r="B512" s="68"/>
      <c r="C512" s="64"/>
      <c r="D512" s="230" t="s">
        <v>959</v>
      </c>
      <c r="E512" s="64" t="s">
        <v>958</v>
      </c>
    </row>
    <row r="513" spans="1:5" s="98" customFormat="1" ht="15" customHeight="1" x14ac:dyDescent="0.2">
      <c r="A513" s="68"/>
      <c r="B513" s="68"/>
      <c r="C513" s="64"/>
      <c r="D513" s="230" t="s">
        <v>959</v>
      </c>
      <c r="E513" s="64" t="s">
        <v>958</v>
      </c>
    </row>
    <row r="514" spans="1:5" s="98" customFormat="1" ht="15" customHeight="1" x14ac:dyDescent="0.2">
      <c r="A514" s="68"/>
      <c r="B514" s="68"/>
      <c r="C514" s="64"/>
      <c r="D514" s="230" t="s">
        <v>959</v>
      </c>
      <c r="E514" s="64" t="s">
        <v>958</v>
      </c>
    </row>
    <row r="515" spans="1:5" s="98" customFormat="1" ht="15" customHeight="1" x14ac:dyDescent="0.2">
      <c r="A515" s="68"/>
      <c r="B515" s="68"/>
      <c r="C515" s="64"/>
      <c r="D515" s="230" t="s">
        <v>959</v>
      </c>
      <c r="E515" s="64" t="s">
        <v>958</v>
      </c>
    </row>
    <row r="516" spans="1:5" s="98" customFormat="1" ht="15" customHeight="1" x14ac:dyDescent="0.2">
      <c r="A516" s="68"/>
      <c r="B516" s="68"/>
      <c r="C516" s="64"/>
      <c r="D516" s="230" t="s">
        <v>959</v>
      </c>
      <c r="E516" s="64" t="s">
        <v>958</v>
      </c>
    </row>
    <row r="517" spans="1:5" s="98" customFormat="1" ht="15" customHeight="1" x14ac:dyDescent="0.2">
      <c r="A517" s="68"/>
      <c r="B517" s="68"/>
      <c r="C517" s="64"/>
      <c r="D517" s="230" t="s">
        <v>959</v>
      </c>
      <c r="E517" s="64" t="s">
        <v>958</v>
      </c>
    </row>
    <row r="518" spans="1:5" s="98" customFormat="1" ht="15" customHeight="1" x14ac:dyDescent="0.2">
      <c r="A518" s="68"/>
      <c r="B518" s="68"/>
      <c r="C518" s="64"/>
      <c r="D518" s="230" t="s">
        <v>959</v>
      </c>
      <c r="E518" s="64" t="s">
        <v>958</v>
      </c>
    </row>
    <row r="519" spans="1:5" s="98" customFormat="1" ht="15" customHeight="1" x14ac:dyDescent="0.2">
      <c r="A519" s="68"/>
      <c r="B519" s="68"/>
      <c r="C519" s="64"/>
      <c r="D519" s="230" t="s">
        <v>959</v>
      </c>
      <c r="E519" s="64" t="s">
        <v>958</v>
      </c>
    </row>
    <row r="520" spans="1:5" s="98" customFormat="1" ht="15" customHeight="1" x14ac:dyDescent="0.2">
      <c r="A520" s="68"/>
      <c r="B520" s="68"/>
      <c r="C520" s="64"/>
      <c r="D520" s="230" t="s">
        <v>959</v>
      </c>
      <c r="E520" s="64" t="s">
        <v>958</v>
      </c>
    </row>
    <row r="521" spans="1:5" s="98" customFormat="1" ht="15" customHeight="1" x14ac:dyDescent="0.2">
      <c r="A521" s="68"/>
      <c r="B521" s="68"/>
      <c r="C521" s="64"/>
      <c r="D521" s="230" t="s">
        <v>959</v>
      </c>
      <c r="E521" s="64" t="s">
        <v>958</v>
      </c>
    </row>
    <row r="522" spans="1:5" s="98" customFormat="1" ht="15" customHeight="1" x14ac:dyDescent="0.2">
      <c r="A522" s="68"/>
      <c r="B522" s="68"/>
      <c r="C522" s="64"/>
      <c r="D522" s="230" t="s">
        <v>959</v>
      </c>
      <c r="E522" s="64" t="s">
        <v>958</v>
      </c>
    </row>
    <row r="523" spans="1:5" s="98" customFormat="1" ht="15" customHeight="1" x14ac:dyDescent="0.2">
      <c r="A523" s="68"/>
      <c r="B523" s="68"/>
      <c r="C523" s="64"/>
      <c r="D523" s="230" t="s">
        <v>959</v>
      </c>
      <c r="E523" s="64" t="s">
        <v>958</v>
      </c>
    </row>
    <row r="524" spans="1:5" s="98" customFormat="1" ht="15" customHeight="1" x14ac:dyDescent="0.2">
      <c r="A524" s="68"/>
      <c r="B524" s="68"/>
      <c r="C524" s="64"/>
      <c r="D524" s="230" t="s">
        <v>959</v>
      </c>
      <c r="E524" s="64" t="s">
        <v>958</v>
      </c>
    </row>
    <row r="525" spans="1:5" s="98" customFormat="1" ht="15" customHeight="1" x14ac:dyDescent="0.2">
      <c r="A525" s="68"/>
      <c r="B525" s="68"/>
      <c r="C525" s="64"/>
      <c r="D525" s="230" t="s">
        <v>959</v>
      </c>
      <c r="E525" s="64" t="s">
        <v>958</v>
      </c>
    </row>
    <row r="526" spans="1:5" s="98" customFormat="1" ht="15" customHeight="1" x14ac:dyDescent="0.2">
      <c r="A526" s="68"/>
      <c r="B526" s="68"/>
      <c r="C526" s="64"/>
      <c r="D526" s="230" t="s">
        <v>959</v>
      </c>
      <c r="E526" s="64" t="s">
        <v>958</v>
      </c>
    </row>
    <row r="527" spans="1:5" s="98" customFormat="1" ht="15" customHeight="1" x14ac:dyDescent="0.2">
      <c r="A527" s="68"/>
      <c r="B527" s="68"/>
      <c r="C527" s="64"/>
      <c r="D527" s="230" t="s">
        <v>959</v>
      </c>
      <c r="E527" s="64" t="s">
        <v>958</v>
      </c>
    </row>
    <row r="528" spans="1:5" s="98" customFormat="1" ht="15" customHeight="1" x14ac:dyDescent="0.2">
      <c r="A528" s="68"/>
      <c r="B528" s="68"/>
      <c r="C528" s="64"/>
      <c r="D528" s="230" t="s">
        <v>959</v>
      </c>
      <c r="E528" s="64" t="s">
        <v>958</v>
      </c>
    </row>
    <row r="529" spans="1:5" s="98" customFormat="1" ht="15" customHeight="1" x14ac:dyDescent="0.2">
      <c r="A529" s="68"/>
      <c r="B529" s="68"/>
      <c r="C529" s="64"/>
      <c r="D529" s="230" t="s">
        <v>959</v>
      </c>
      <c r="E529" s="64" t="s">
        <v>958</v>
      </c>
    </row>
    <row r="530" spans="1:5" s="98" customFormat="1" ht="15" customHeight="1" x14ac:dyDescent="0.2">
      <c r="A530" s="68"/>
      <c r="B530" s="68"/>
      <c r="C530" s="64"/>
      <c r="D530" s="230" t="s">
        <v>959</v>
      </c>
      <c r="E530" s="64" t="s">
        <v>958</v>
      </c>
    </row>
    <row r="531" spans="1:5" s="98" customFormat="1" ht="15" customHeight="1" x14ac:dyDescent="0.2">
      <c r="A531" s="68"/>
      <c r="B531" s="68"/>
      <c r="C531" s="64"/>
      <c r="D531" s="230" t="s">
        <v>959</v>
      </c>
      <c r="E531" s="64" t="s">
        <v>958</v>
      </c>
    </row>
    <row r="532" spans="1:5" s="98" customFormat="1" ht="15" customHeight="1" x14ac:dyDescent="0.2">
      <c r="A532" s="68"/>
      <c r="B532" s="68"/>
      <c r="C532" s="64"/>
      <c r="D532" s="230" t="s">
        <v>959</v>
      </c>
      <c r="E532" s="64" t="s">
        <v>958</v>
      </c>
    </row>
    <row r="533" spans="1:5" s="98" customFormat="1" ht="15" customHeight="1" x14ac:dyDescent="0.2">
      <c r="A533" s="68"/>
      <c r="B533" s="68"/>
      <c r="C533" s="64"/>
      <c r="D533" s="230" t="s">
        <v>959</v>
      </c>
      <c r="E533" s="64" t="s">
        <v>958</v>
      </c>
    </row>
    <row r="534" spans="1:5" s="98" customFormat="1" ht="15" customHeight="1" x14ac:dyDescent="0.2">
      <c r="A534" s="68"/>
      <c r="B534" s="68"/>
      <c r="C534" s="64"/>
      <c r="D534" s="230" t="s">
        <v>959</v>
      </c>
      <c r="E534" s="64" t="s">
        <v>958</v>
      </c>
    </row>
    <row r="535" spans="1:5" s="98" customFormat="1" ht="15" customHeight="1" x14ac:dyDescent="0.2">
      <c r="A535" s="68"/>
      <c r="B535" s="68"/>
      <c r="C535" s="64"/>
      <c r="D535" s="230" t="s">
        <v>959</v>
      </c>
      <c r="E535" s="64" t="s">
        <v>958</v>
      </c>
    </row>
    <row r="536" spans="1:5" s="98" customFormat="1" ht="15" customHeight="1" x14ac:dyDescent="0.2">
      <c r="A536" s="68"/>
      <c r="B536" s="68"/>
      <c r="C536" s="64"/>
      <c r="D536" s="230" t="s">
        <v>959</v>
      </c>
      <c r="E536" s="64" t="s">
        <v>958</v>
      </c>
    </row>
    <row r="537" spans="1:5" s="98" customFormat="1" ht="15" customHeight="1" x14ac:dyDescent="0.2">
      <c r="A537" s="68"/>
      <c r="B537" s="68"/>
      <c r="C537" s="64"/>
      <c r="D537" s="230" t="s">
        <v>959</v>
      </c>
      <c r="E537" s="64" t="s">
        <v>958</v>
      </c>
    </row>
    <row r="538" spans="1:5" s="98" customFormat="1" ht="15" customHeight="1" x14ac:dyDescent="0.2">
      <c r="A538" s="68"/>
      <c r="B538" s="68"/>
      <c r="C538" s="64"/>
      <c r="D538" s="230" t="s">
        <v>959</v>
      </c>
      <c r="E538" s="64" t="s">
        <v>958</v>
      </c>
    </row>
    <row r="539" spans="1:5" s="98" customFormat="1" ht="15" customHeight="1" x14ac:dyDescent="0.2">
      <c r="A539" s="68"/>
      <c r="B539" s="68"/>
      <c r="C539" s="64"/>
      <c r="D539" s="230" t="s">
        <v>959</v>
      </c>
      <c r="E539" s="64" t="s">
        <v>958</v>
      </c>
    </row>
    <row r="540" spans="1:5" s="98" customFormat="1" ht="15" customHeight="1" x14ac:dyDescent="0.2">
      <c r="A540" s="68"/>
      <c r="B540" s="68"/>
      <c r="C540" s="64"/>
      <c r="D540" s="230" t="s">
        <v>959</v>
      </c>
      <c r="E540" s="64" t="s">
        <v>958</v>
      </c>
    </row>
    <row r="541" spans="1:5" s="98" customFormat="1" ht="15" customHeight="1" x14ac:dyDescent="0.2">
      <c r="A541" s="68"/>
      <c r="B541" s="68"/>
      <c r="C541" s="64"/>
      <c r="D541" s="230" t="s">
        <v>959</v>
      </c>
      <c r="E541" s="64" t="s">
        <v>958</v>
      </c>
    </row>
    <row r="542" spans="1:5" s="98" customFormat="1" ht="15" customHeight="1" x14ac:dyDescent="0.2">
      <c r="A542" s="68"/>
      <c r="B542" s="68"/>
      <c r="C542" s="64"/>
      <c r="D542" s="230" t="s">
        <v>959</v>
      </c>
      <c r="E542" s="64" t="s">
        <v>958</v>
      </c>
    </row>
    <row r="543" spans="1:5" s="98" customFormat="1" ht="15" customHeight="1" x14ac:dyDescent="0.2">
      <c r="A543" s="68"/>
      <c r="B543" s="68"/>
      <c r="C543" s="64"/>
      <c r="D543" s="230" t="s">
        <v>959</v>
      </c>
      <c r="E543" s="64" t="s">
        <v>958</v>
      </c>
    </row>
    <row r="544" spans="1:5" s="98" customFormat="1" ht="15" customHeight="1" x14ac:dyDescent="0.2">
      <c r="A544" s="68"/>
      <c r="B544" s="68"/>
      <c r="C544" s="64"/>
      <c r="D544" s="230" t="s">
        <v>959</v>
      </c>
      <c r="E544" s="64" t="s">
        <v>958</v>
      </c>
    </row>
    <row r="545" spans="1:5" s="98" customFormat="1" ht="15" customHeight="1" x14ac:dyDescent="0.2">
      <c r="A545" s="68"/>
      <c r="B545" s="68"/>
      <c r="C545" s="64"/>
      <c r="D545" s="230" t="s">
        <v>959</v>
      </c>
      <c r="E545" s="64" t="s">
        <v>958</v>
      </c>
    </row>
    <row r="546" spans="1:5" s="98" customFormat="1" ht="15" customHeight="1" x14ac:dyDescent="0.2">
      <c r="A546" s="68"/>
      <c r="B546" s="68"/>
      <c r="C546" s="64"/>
      <c r="D546" s="230" t="s">
        <v>959</v>
      </c>
      <c r="E546" s="64" t="s">
        <v>958</v>
      </c>
    </row>
    <row r="547" spans="1:5" s="98" customFormat="1" ht="15" customHeight="1" x14ac:dyDescent="0.2">
      <c r="A547" s="68"/>
      <c r="B547" s="68"/>
      <c r="C547" s="64"/>
      <c r="D547" s="230" t="s">
        <v>959</v>
      </c>
      <c r="E547" s="64" t="s">
        <v>958</v>
      </c>
    </row>
    <row r="548" spans="1:5" s="98" customFormat="1" ht="15" customHeight="1" x14ac:dyDescent="0.2">
      <c r="A548" s="68"/>
      <c r="B548" s="68"/>
      <c r="C548" s="64"/>
      <c r="D548" s="230" t="s">
        <v>959</v>
      </c>
      <c r="E548" s="64" t="s">
        <v>958</v>
      </c>
    </row>
    <row r="549" spans="1:5" s="98" customFormat="1" ht="15" customHeight="1" x14ac:dyDescent="0.2">
      <c r="A549" s="68"/>
      <c r="B549" s="68"/>
      <c r="C549" s="64"/>
      <c r="D549" s="230" t="s">
        <v>959</v>
      </c>
      <c r="E549" s="64" t="s">
        <v>958</v>
      </c>
    </row>
    <row r="550" spans="1:5" s="98" customFormat="1" ht="15" customHeight="1" x14ac:dyDescent="0.2">
      <c r="A550" s="68"/>
      <c r="B550" s="68"/>
      <c r="C550" s="64"/>
      <c r="D550" s="230" t="s">
        <v>959</v>
      </c>
      <c r="E550" s="64" t="s">
        <v>958</v>
      </c>
    </row>
    <row r="551" spans="1:5" s="98" customFormat="1" ht="15" customHeight="1" x14ac:dyDescent="0.2">
      <c r="A551" s="68"/>
      <c r="B551" s="68"/>
      <c r="C551" s="64"/>
      <c r="D551" s="230" t="s">
        <v>959</v>
      </c>
      <c r="E551" s="64" t="s">
        <v>958</v>
      </c>
    </row>
    <row r="552" spans="1:5" s="98" customFormat="1" ht="15" customHeight="1" x14ac:dyDescent="0.2">
      <c r="A552" s="68"/>
      <c r="B552" s="68"/>
      <c r="C552" s="64"/>
      <c r="D552" s="230" t="s">
        <v>959</v>
      </c>
      <c r="E552" s="64" t="s">
        <v>958</v>
      </c>
    </row>
    <row r="553" spans="1:5" s="98" customFormat="1" ht="15" customHeight="1" x14ac:dyDescent="0.2">
      <c r="A553" s="68"/>
      <c r="B553" s="68"/>
      <c r="C553" s="64"/>
      <c r="D553" s="230" t="s">
        <v>959</v>
      </c>
      <c r="E553" s="64" t="s">
        <v>958</v>
      </c>
    </row>
    <row r="554" spans="1:5" s="98" customFormat="1" ht="15" customHeight="1" x14ac:dyDescent="0.2">
      <c r="A554" s="68"/>
      <c r="B554" s="68"/>
      <c r="C554" s="64"/>
      <c r="D554" s="230" t="s">
        <v>959</v>
      </c>
      <c r="E554" s="64" t="s">
        <v>958</v>
      </c>
    </row>
    <row r="555" spans="1:5" s="98" customFormat="1" ht="15" customHeight="1" x14ac:dyDescent="0.2">
      <c r="A555" s="68"/>
      <c r="B555" s="68"/>
      <c r="C555" s="64"/>
      <c r="D555" s="230" t="s">
        <v>959</v>
      </c>
      <c r="E555" s="64" t="s">
        <v>958</v>
      </c>
    </row>
    <row r="556" spans="1:5" s="98" customFormat="1" ht="15" customHeight="1" x14ac:dyDescent="0.2">
      <c r="A556" s="68"/>
      <c r="B556" s="68"/>
      <c r="C556" s="64"/>
      <c r="D556" s="230" t="s">
        <v>959</v>
      </c>
      <c r="E556" s="64" t="s">
        <v>958</v>
      </c>
    </row>
    <row r="557" spans="1:5" s="98" customFormat="1" ht="15" customHeight="1" x14ac:dyDescent="0.2">
      <c r="A557" s="68"/>
      <c r="B557" s="68"/>
      <c r="C557" s="64"/>
      <c r="D557" s="230" t="s">
        <v>959</v>
      </c>
      <c r="E557" s="64" t="s">
        <v>958</v>
      </c>
    </row>
    <row r="558" spans="1:5" s="98" customFormat="1" ht="15" customHeight="1" x14ac:dyDescent="0.2">
      <c r="A558" s="68"/>
      <c r="B558" s="68"/>
      <c r="C558" s="64"/>
      <c r="D558" s="230" t="s">
        <v>959</v>
      </c>
      <c r="E558" s="64" t="s">
        <v>958</v>
      </c>
    </row>
    <row r="559" spans="1:5" s="98" customFormat="1" ht="15" customHeight="1" x14ac:dyDescent="0.2">
      <c r="A559" s="68"/>
      <c r="B559" s="68"/>
      <c r="C559" s="64"/>
      <c r="D559" s="230" t="s">
        <v>959</v>
      </c>
      <c r="E559" s="64" t="s">
        <v>958</v>
      </c>
    </row>
    <row r="560" spans="1:5" s="98" customFormat="1" ht="15" customHeight="1" x14ac:dyDescent="0.2">
      <c r="A560" s="68"/>
      <c r="B560" s="68"/>
      <c r="C560" s="64"/>
      <c r="D560" s="230" t="s">
        <v>959</v>
      </c>
      <c r="E560" s="64" t="s">
        <v>958</v>
      </c>
    </row>
    <row r="561" spans="1:5" s="98" customFormat="1" ht="15" customHeight="1" x14ac:dyDescent="0.2">
      <c r="A561" s="68"/>
      <c r="B561" s="68"/>
      <c r="C561" s="64"/>
      <c r="D561" s="230" t="s">
        <v>959</v>
      </c>
      <c r="E561" s="64" t="s">
        <v>958</v>
      </c>
    </row>
    <row r="562" spans="1:5" s="98" customFormat="1" ht="15" customHeight="1" x14ac:dyDescent="0.2">
      <c r="A562" s="68"/>
      <c r="B562" s="68"/>
      <c r="C562" s="64"/>
      <c r="D562" s="230" t="s">
        <v>959</v>
      </c>
      <c r="E562" s="64" t="s">
        <v>958</v>
      </c>
    </row>
    <row r="563" spans="1:5" s="98" customFormat="1" ht="15" customHeight="1" x14ac:dyDescent="0.2">
      <c r="A563" s="68"/>
      <c r="B563" s="68"/>
      <c r="C563" s="64"/>
      <c r="D563" s="230" t="s">
        <v>959</v>
      </c>
      <c r="E563" s="64" t="s">
        <v>958</v>
      </c>
    </row>
    <row r="564" spans="1:5" s="98" customFormat="1" ht="15" customHeight="1" x14ac:dyDescent="0.2">
      <c r="A564" s="68"/>
      <c r="B564" s="68"/>
      <c r="C564" s="64"/>
      <c r="D564" s="230" t="s">
        <v>959</v>
      </c>
      <c r="E564" s="64" t="s">
        <v>958</v>
      </c>
    </row>
    <row r="565" spans="1:5" s="98" customFormat="1" ht="15" customHeight="1" x14ac:dyDescent="0.2">
      <c r="A565" s="68"/>
      <c r="B565" s="68"/>
      <c r="C565" s="64"/>
      <c r="D565" s="230" t="s">
        <v>959</v>
      </c>
      <c r="E565" s="64" t="s">
        <v>958</v>
      </c>
    </row>
    <row r="566" spans="1:5" s="98" customFormat="1" ht="15" customHeight="1" x14ac:dyDescent="0.2">
      <c r="A566" s="68"/>
      <c r="B566" s="68"/>
      <c r="C566" s="64"/>
      <c r="D566" s="230" t="s">
        <v>959</v>
      </c>
      <c r="E566" s="64" t="s">
        <v>958</v>
      </c>
    </row>
    <row r="567" spans="1:5" s="98" customFormat="1" ht="15" customHeight="1" x14ac:dyDescent="0.2">
      <c r="A567" s="68"/>
      <c r="B567" s="68"/>
      <c r="C567" s="64"/>
      <c r="D567" s="230" t="s">
        <v>959</v>
      </c>
      <c r="E567" s="64" t="s">
        <v>958</v>
      </c>
    </row>
    <row r="568" spans="1:5" s="98" customFormat="1" ht="15" customHeight="1" x14ac:dyDescent="0.2">
      <c r="A568" s="68"/>
      <c r="B568" s="68"/>
      <c r="C568" s="64"/>
      <c r="D568" s="230" t="s">
        <v>959</v>
      </c>
      <c r="E568" s="64" t="s">
        <v>958</v>
      </c>
    </row>
    <row r="569" spans="1:5" s="98" customFormat="1" ht="15" customHeight="1" x14ac:dyDescent="0.2">
      <c r="A569" s="68"/>
      <c r="B569" s="68"/>
      <c r="C569" s="64"/>
      <c r="D569" s="230" t="s">
        <v>959</v>
      </c>
      <c r="E569" s="64" t="s">
        <v>958</v>
      </c>
    </row>
    <row r="570" spans="1:5" s="98" customFormat="1" ht="15" customHeight="1" x14ac:dyDescent="0.2">
      <c r="A570" s="68"/>
      <c r="B570" s="68"/>
      <c r="C570" s="64"/>
      <c r="D570" s="230" t="s">
        <v>959</v>
      </c>
      <c r="E570" s="64" t="s">
        <v>958</v>
      </c>
    </row>
    <row r="571" spans="1:5" s="98" customFormat="1" ht="15" customHeight="1" x14ac:dyDescent="0.2">
      <c r="A571" s="68"/>
      <c r="B571" s="68"/>
      <c r="C571" s="64"/>
      <c r="D571" s="230" t="s">
        <v>959</v>
      </c>
      <c r="E571" s="64" t="s">
        <v>958</v>
      </c>
    </row>
    <row r="572" spans="1:5" s="98" customFormat="1" ht="15" customHeight="1" x14ac:dyDescent="0.2">
      <c r="A572" s="68"/>
      <c r="B572" s="68"/>
      <c r="C572" s="64"/>
      <c r="D572" s="230" t="s">
        <v>959</v>
      </c>
      <c r="E572" s="64" t="s">
        <v>958</v>
      </c>
    </row>
    <row r="573" spans="1:5" s="98" customFormat="1" ht="15" customHeight="1" x14ac:dyDescent="0.2">
      <c r="A573" s="68"/>
      <c r="B573" s="68"/>
      <c r="C573" s="64"/>
      <c r="D573" s="230" t="s">
        <v>959</v>
      </c>
      <c r="E573" s="64" t="s">
        <v>958</v>
      </c>
    </row>
    <row r="574" spans="1:5" s="98" customFormat="1" ht="15" customHeight="1" x14ac:dyDescent="0.2">
      <c r="A574" s="68"/>
      <c r="B574" s="68"/>
      <c r="C574" s="64"/>
      <c r="D574" s="230" t="s">
        <v>959</v>
      </c>
      <c r="E574" s="64" t="s">
        <v>958</v>
      </c>
    </row>
    <row r="575" spans="1:5" s="98" customFormat="1" ht="15" customHeight="1" x14ac:dyDescent="0.2">
      <c r="A575" s="68"/>
      <c r="B575" s="68"/>
      <c r="C575" s="64"/>
      <c r="D575" s="230" t="s">
        <v>959</v>
      </c>
      <c r="E575" s="64" t="s">
        <v>958</v>
      </c>
    </row>
    <row r="576" spans="1:5" s="98" customFormat="1" ht="15" customHeight="1" x14ac:dyDescent="0.2">
      <c r="A576" s="68"/>
      <c r="B576" s="68"/>
      <c r="C576" s="64"/>
      <c r="D576" s="230" t="s">
        <v>959</v>
      </c>
      <c r="E576" s="64" t="s">
        <v>958</v>
      </c>
    </row>
    <row r="577" spans="1:5" s="98" customFormat="1" ht="15" customHeight="1" x14ac:dyDescent="0.2">
      <c r="A577" s="68"/>
      <c r="B577" s="68"/>
      <c r="C577" s="64"/>
      <c r="D577" s="230" t="s">
        <v>959</v>
      </c>
      <c r="E577" s="64" t="s">
        <v>958</v>
      </c>
    </row>
    <row r="578" spans="1:5" s="98" customFormat="1" ht="15" customHeight="1" x14ac:dyDescent="0.2">
      <c r="A578" s="68"/>
      <c r="B578" s="68"/>
      <c r="C578" s="64"/>
      <c r="D578" s="230" t="s">
        <v>959</v>
      </c>
      <c r="E578" s="64" t="s">
        <v>958</v>
      </c>
    </row>
    <row r="579" spans="1:5" s="98" customFormat="1" ht="15" customHeight="1" x14ac:dyDescent="0.2">
      <c r="A579" s="68"/>
      <c r="B579" s="68"/>
      <c r="C579" s="64"/>
      <c r="D579" s="230" t="s">
        <v>959</v>
      </c>
      <c r="E579" s="64" t="s">
        <v>958</v>
      </c>
    </row>
    <row r="580" spans="1:5" s="98" customFormat="1" ht="15" customHeight="1" x14ac:dyDescent="0.2">
      <c r="A580" s="68"/>
      <c r="B580" s="68"/>
      <c r="C580" s="64"/>
      <c r="D580" s="230" t="s">
        <v>959</v>
      </c>
      <c r="E580" s="64" t="s">
        <v>958</v>
      </c>
    </row>
    <row r="581" spans="1:5" s="98" customFormat="1" ht="15" customHeight="1" x14ac:dyDescent="0.2">
      <c r="A581" s="68"/>
      <c r="B581" s="68"/>
      <c r="C581" s="64"/>
      <c r="D581" s="230" t="s">
        <v>959</v>
      </c>
      <c r="E581" s="64" t="s">
        <v>958</v>
      </c>
    </row>
    <row r="582" spans="1:5" s="98" customFormat="1" ht="15" customHeight="1" x14ac:dyDescent="0.2">
      <c r="A582" s="68"/>
      <c r="B582" s="68"/>
      <c r="C582" s="64"/>
      <c r="D582" s="230" t="s">
        <v>959</v>
      </c>
      <c r="E582" s="64" t="s">
        <v>958</v>
      </c>
    </row>
    <row r="583" spans="1:5" s="98" customFormat="1" ht="15" customHeight="1" x14ac:dyDescent="0.2">
      <c r="A583" s="68"/>
      <c r="B583" s="68"/>
      <c r="C583" s="64"/>
      <c r="D583" s="230" t="s">
        <v>959</v>
      </c>
      <c r="E583" s="64" t="s">
        <v>958</v>
      </c>
    </row>
    <row r="584" spans="1:5" s="98" customFormat="1" ht="15" customHeight="1" x14ac:dyDescent="0.2">
      <c r="A584" s="68"/>
      <c r="B584" s="68"/>
      <c r="C584" s="64"/>
      <c r="D584" s="230" t="s">
        <v>959</v>
      </c>
      <c r="E584" s="64" t="s">
        <v>958</v>
      </c>
    </row>
    <row r="585" spans="1:5" s="98" customFormat="1" ht="15" customHeight="1" x14ac:dyDescent="0.2">
      <c r="A585" s="68"/>
      <c r="B585" s="68"/>
      <c r="C585" s="64"/>
      <c r="D585" s="230" t="s">
        <v>959</v>
      </c>
      <c r="E585" s="64" t="s">
        <v>958</v>
      </c>
    </row>
    <row r="586" spans="1:5" s="98" customFormat="1" ht="15" customHeight="1" x14ac:dyDescent="0.2">
      <c r="A586" s="68"/>
      <c r="B586" s="68"/>
      <c r="C586" s="64"/>
      <c r="D586" s="230" t="s">
        <v>959</v>
      </c>
      <c r="E586" s="64" t="s">
        <v>958</v>
      </c>
    </row>
    <row r="587" spans="1:5" s="98" customFormat="1" ht="15" customHeight="1" x14ac:dyDescent="0.2">
      <c r="A587" s="68"/>
      <c r="B587" s="68"/>
      <c r="C587" s="64"/>
      <c r="D587" s="230" t="s">
        <v>959</v>
      </c>
      <c r="E587" s="64" t="s">
        <v>958</v>
      </c>
    </row>
    <row r="588" spans="1:5" s="98" customFormat="1" ht="15" customHeight="1" x14ac:dyDescent="0.2">
      <c r="A588" s="68"/>
      <c r="B588" s="68"/>
      <c r="C588" s="64"/>
      <c r="D588" s="230" t="s">
        <v>959</v>
      </c>
      <c r="E588" s="64" t="s">
        <v>958</v>
      </c>
    </row>
    <row r="589" spans="1:5" s="98" customFormat="1" ht="15" customHeight="1" x14ac:dyDescent="0.2">
      <c r="A589" s="68"/>
      <c r="B589" s="68"/>
      <c r="C589" s="64"/>
      <c r="D589" s="230" t="s">
        <v>959</v>
      </c>
      <c r="E589" s="64" t="s">
        <v>958</v>
      </c>
    </row>
    <row r="590" spans="1:5" s="98" customFormat="1" ht="15" customHeight="1" x14ac:dyDescent="0.2">
      <c r="A590" s="68"/>
      <c r="B590" s="68"/>
      <c r="C590" s="64"/>
      <c r="D590" s="230" t="s">
        <v>959</v>
      </c>
      <c r="E590" s="64" t="s">
        <v>958</v>
      </c>
    </row>
    <row r="591" spans="1:5" s="98" customFormat="1" ht="15" customHeight="1" x14ac:dyDescent="0.2">
      <c r="A591" s="68"/>
      <c r="B591" s="68"/>
      <c r="C591" s="64"/>
      <c r="D591" s="230" t="s">
        <v>959</v>
      </c>
      <c r="E591" s="64" t="s">
        <v>958</v>
      </c>
    </row>
    <row r="592" spans="1:5" s="98" customFormat="1" ht="15" customHeight="1" x14ac:dyDescent="0.2">
      <c r="A592" s="68"/>
      <c r="B592" s="68"/>
      <c r="C592" s="64"/>
      <c r="D592" s="230" t="s">
        <v>959</v>
      </c>
      <c r="E592" s="64" t="s">
        <v>958</v>
      </c>
    </row>
    <row r="593" spans="1:5" s="98" customFormat="1" ht="15" customHeight="1" x14ac:dyDescent="0.2">
      <c r="A593" s="68"/>
      <c r="B593" s="68"/>
      <c r="C593" s="64"/>
      <c r="D593" s="230" t="s">
        <v>959</v>
      </c>
      <c r="E593" s="64" t="s">
        <v>958</v>
      </c>
    </row>
    <row r="594" spans="1:5" s="98" customFormat="1" ht="15" customHeight="1" x14ac:dyDescent="0.2">
      <c r="A594" s="68"/>
      <c r="B594" s="68"/>
      <c r="C594" s="64"/>
      <c r="D594" s="230" t="s">
        <v>959</v>
      </c>
      <c r="E594" s="64" t="s">
        <v>958</v>
      </c>
    </row>
    <row r="595" spans="1:5" s="98" customFormat="1" ht="15" customHeight="1" x14ac:dyDescent="0.2">
      <c r="A595" s="68"/>
      <c r="B595" s="68"/>
      <c r="C595" s="64"/>
      <c r="D595" s="230" t="s">
        <v>959</v>
      </c>
      <c r="E595" s="64" t="s">
        <v>958</v>
      </c>
    </row>
    <row r="596" spans="1:5" s="98" customFormat="1" ht="15" customHeight="1" x14ac:dyDescent="0.2">
      <c r="A596" s="68"/>
      <c r="B596" s="68"/>
      <c r="C596" s="64"/>
      <c r="D596" s="230" t="s">
        <v>959</v>
      </c>
      <c r="E596" s="64" t="s">
        <v>958</v>
      </c>
    </row>
    <row r="597" spans="1:5" s="98" customFormat="1" ht="15" customHeight="1" x14ac:dyDescent="0.2">
      <c r="A597" s="68"/>
      <c r="B597" s="68"/>
      <c r="C597" s="64"/>
      <c r="D597" s="230" t="s">
        <v>959</v>
      </c>
      <c r="E597" s="64" t="s">
        <v>958</v>
      </c>
    </row>
    <row r="598" spans="1:5" s="98" customFormat="1" ht="15" customHeight="1" x14ac:dyDescent="0.2">
      <c r="A598" s="68"/>
      <c r="B598" s="68"/>
      <c r="C598" s="64"/>
      <c r="D598" s="230" t="s">
        <v>959</v>
      </c>
      <c r="E598" s="64" t="s">
        <v>958</v>
      </c>
    </row>
    <row r="599" spans="1:5" s="98" customFormat="1" ht="15" customHeight="1" x14ac:dyDescent="0.2">
      <c r="A599" s="68"/>
      <c r="B599" s="68"/>
      <c r="C599" s="64"/>
      <c r="D599" s="230" t="s">
        <v>959</v>
      </c>
      <c r="E599" s="64" t="s">
        <v>958</v>
      </c>
    </row>
    <row r="600" spans="1:5" s="98" customFormat="1" ht="15" customHeight="1" x14ac:dyDescent="0.2">
      <c r="A600" s="68"/>
      <c r="B600" s="68"/>
      <c r="C600" s="64"/>
      <c r="D600" s="230" t="s">
        <v>959</v>
      </c>
      <c r="E600" s="64" t="s">
        <v>958</v>
      </c>
    </row>
    <row r="601" spans="1:5" s="98" customFormat="1" ht="15" customHeight="1" x14ac:dyDescent="0.2">
      <c r="A601" s="68"/>
      <c r="B601" s="68"/>
      <c r="C601" s="64"/>
      <c r="D601" s="230" t="s">
        <v>959</v>
      </c>
      <c r="E601" s="64" t="s">
        <v>958</v>
      </c>
    </row>
    <row r="602" spans="1:5" s="98" customFormat="1" ht="15" customHeight="1" x14ac:dyDescent="0.2">
      <c r="A602" s="68"/>
      <c r="B602" s="68"/>
      <c r="C602" s="64"/>
      <c r="D602" s="230" t="s">
        <v>959</v>
      </c>
      <c r="E602" s="64" t="s">
        <v>958</v>
      </c>
    </row>
    <row r="603" spans="1:5" s="98" customFormat="1" ht="15" customHeight="1" x14ac:dyDescent="0.2">
      <c r="A603" s="68"/>
      <c r="B603" s="68"/>
      <c r="C603" s="64"/>
      <c r="D603" s="230" t="s">
        <v>959</v>
      </c>
      <c r="E603" s="64" t="s">
        <v>958</v>
      </c>
    </row>
    <row r="604" spans="1:5" s="98" customFormat="1" ht="15" customHeight="1" x14ac:dyDescent="0.2">
      <c r="A604" s="68"/>
      <c r="B604" s="68"/>
      <c r="C604" s="64"/>
      <c r="D604" s="230" t="s">
        <v>959</v>
      </c>
      <c r="E604" s="64" t="s">
        <v>958</v>
      </c>
    </row>
    <row r="605" spans="1:5" s="98" customFormat="1" ht="15" customHeight="1" x14ac:dyDescent="0.2">
      <c r="A605" s="68"/>
      <c r="B605" s="68"/>
      <c r="C605" s="64"/>
      <c r="D605" s="230" t="s">
        <v>959</v>
      </c>
      <c r="E605" s="64" t="s">
        <v>958</v>
      </c>
    </row>
    <row r="606" spans="1:5" s="98" customFormat="1" ht="15" customHeight="1" x14ac:dyDescent="0.2">
      <c r="A606" s="68"/>
      <c r="B606" s="68"/>
      <c r="C606" s="64"/>
      <c r="D606" s="230" t="s">
        <v>959</v>
      </c>
      <c r="E606" s="64" t="s">
        <v>958</v>
      </c>
    </row>
    <row r="607" spans="1:5" s="98" customFormat="1" ht="15" customHeight="1" x14ac:dyDescent="0.2">
      <c r="A607" s="68"/>
      <c r="B607" s="68"/>
      <c r="C607" s="64"/>
      <c r="D607" s="230" t="s">
        <v>959</v>
      </c>
      <c r="E607" s="64" t="s">
        <v>958</v>
      </c>
    </row>
    <row r="608" spans="1:5" s="98" customFormat="1" ht="15" customHeight="1" x14ac:dyDescent="0.2">
      <c r="A608" s="68"/>
      <c r="B608" s="68"/>
      <c r="C608" s="64"/>
      <c r="D608" s="230" t="s">
        <v>959</v>
      </c>
      <c r="E608" s="64" t="s">
        <v>958</v>
      </c>
    </row>
    <row r="609" spans="1:5" s="98" customFormat="1" ht="15" customHeight="1" x14ac:dyDescent="0.2">
      <c r="A609" s="68"/>
      <c r="B609" s="68"/>
      <c r="C609" s="64"/>
      <c r="D609" s="230" t="s">
        <v>959</v>
      </c>
      <c r="E609" s="64" t="s">
        <v>958</v>
      </c>
    </row>
    <row r="610" spans="1:5" s="98" customFormat="1" ht="15" customHeight="1" x14ac:dyDescent="0.2">
      <c r="A610" s="68"/>
      <c r="B610" s="68"/>
      <c r="C610" s="64"/>
      <c r="D610" s="230" t="s">
        <v>959</v>
      </c>
      <c r="E610" s="64" t="s">
        <v>958</v>
      </c>
    </row>
    <row r="611" spans="1:5" s="98" customFormat="1" ht="15" customHeight="1" x14ac:dyDescent="0.2">
      <c r="A611" s="68"/>
      <c r="B611" s="68"/>
      <c r="C611" s="64"/>
      <c r="D611" s="230" t="s">
        <v>959</v>
      </c>
      <c r="E611" s="64" t="s">
        <v>958</v>
      </c>
    </row>
    <row r="612" spans="1:5" s="98" customFormat="1" ht="15" customHeight="1" x14ac:dyDescent="0.2">
      <c r="A612" s="68"/>
      <c r="B612" s="68"/>
      <c r="C612" s="64"/>
      <c r="D612" s="230" t="s">
        <v>959</v>
      </c>
      <c r="E612" s="64" t="s">
        <v>958</v>
      </c>
    </row>
    <row r="613" spans="1:5" s="98" customFormat="1" ht="15" customHeight="1" x14ac:dyDescent="0.2">
      <c r="A613" s="68"/>
      <c r="B613" s="68"/>
      <c r="C613" s="64"/>
      <c r="D613" s="230" t="s">
        <v>959</v>
      </c>
      <c r="E613" s="64" t="s">
        <v>958</v>
      </c>
    </row>
    <row r="614" spans="1:5" s="98" customFormat="1" ht="15" customHeight="1" x14ac:dyDescent="0.2">
      <c r="A614" s="68"/>
      <c r="B614" s="68"/>
      <c r="C614" s="64"/>
      <c r="D614" s="230" t="s">
        <v>959</v>
      </c>
      <c r="E614" s="64" t="s">
        <v>958</v>
      </c>
    </row>
    <row r="615" spans="1:5" s="98" customFormat="1" ht="15" customHeight="1" x14ac:dyDescent="0.2">
      <c r="A615" s="68"/>
      <c r="B615" s="68"/>
      <c r="C615" s="64"/>
      <c r="D615" s="230" t="s">
        <v>959</v>
      </c>
      <c r="E615" s="64" t="s">
        <v>958</v>
      </c>
    </row>
    <row r="616" spans="1:5" s="98" customFormat="1" ht="15" customHeight="1" x14ac:dyDescent="0.2">
      <c r="A616" s="68"/>
      <c r="B616" s="68"/>
      <c r="C616" s="64"/>
      <c r="D616" s="230" t="s">
        <v>959</v>
      </c>
      <c r="E616" s="64" t="s">
        <v>958</v>
      </c>
    </row>
    <row r="617" spans="1:5" s="98" customFormat="1" ht="15" customHeight="1" x14ac:dyDescent="0.2">
      <c r="A617" s="68"/>
      <c r="B617" s="68"/>
      <c r="C617" s="64"/>
      <c r="D617" s="230" t="s">
        <v>959</v>
      </c>
      <c r="E617" s="64" t="s">
        <v>958</v>
      </c>
    </row>
    <row r="618" spans="1:5" s="98" customFormat="1" ht="15" customHeight="1" x14ac:dyDescent="0.2">
      <c r="A618" s="68"/>
      <c r="B618" s="68"/>
      <c r="C618" s="64"/>
      <c r="D618" s="230" t="s">
        <v>959</v>
      </c>
      <c r="E618" s="64" t="s">
        <v>958</v>
      </c>
    </row>
    <row r="619" spans="1:5" s="98" customFormat="1" ht="15" customHeight="1" x14ac:dyDescent="0.2">
      <c r="A619" s="68"/>
      <c r="B619" s="68"/>
      <c r="C619" s="64"/>
      <c r="D619" s="230" t="s">
        <v>959</v>
      </c>
      <c r="E619" s="64" t="s">
        <v>958</v>
      </c>
    </row>
    <row r="620" spans="1:5" s="98" customFormat="1" ht="15" customHeight="1" x14ac:dyDescent="0.2">
      <c r="A620" s="68"/>
      <c r="B620" s="68"/>
      <c r="C620" s="64"/>
      <c r="D620" s="230" t="s">
        <v>959</v>
      </c>
      <c r="E620" s="64" t="s">
        <v>958</v>
      </c>
    </row>
    <row r="621" spans="1:5" s="98" customFormat="1" ht="15" customHeight="1" x14ac:dyDescent="0.2">
      <c r="A621" s="68"/>
      <c r="B621" s="68"/>
      <c r="C621" s="64"/>
      <c r="D621" s="230" t="s">
        <v>959</v>
      </c>
      <c r="E621" s="64" t="s">
        <v>958</v>
      </c>
    </row>
    <row r="622" spans="1:5" s="98" customFormat="1" ht="15" customHeight="1" x14ac:dyDescent="0.2">
      <c r="A622" s="68"/>
      <c r="B622" s="68"/>
      <c r="C622" s="64"/>
      <c r="D622" s="230" t="s">
        <v>959</v>
      </c>
      <c r="E622" s="64" t="s">
        <v>958</v>
      </c>
    </row>
    <row r="623" spans="1:5" s="98" customFormat="1" ht="15" customHeight="1" x14ac:dyDescent="0.2">
      <c r="A623" s="68"/>
      <c r="B623" s="68"/>
      <c r="C623" s="64"/>
      <c r="D623" s="230" t="s">
        <v>959</v>
      </c>
      <c r="E623" s="64" t="s">
        <v>958</v>
      </c>
    </row>
    <row r="624" spans="1:5" s="98" customFormat="1" ht="15" customHeight="1" x14ac:dyDescent="0.2">
      <c r="A624" s="68"/>
      <c r="B624" s="68"/>
      <c r="C624" s="64"/>
      <c r="D624" s="230" t="s">
        <v>959</v>
      </c>
      <c r="E624" s="64" t="s">
        <v>958</v>
      </c>
    </row>
    <row r="625" spans="1:5" s="98" customFormat="1" ht="15" customHeight="1" x14ac:dyDescent="0.2">
      <c r="A625" s="68"/>
      <c r="B625" s="68"/>
      <c r="C625" s="64"/>
      <c r="D625" s="230" t="s">
        <v>959</v>
      </c>
      <c r="E625" s="64" t="s">
        <v>958</v>
      </c>
    </row>
    <row r="626" spans="1:5" s="98" customFormat="1" ht="15" customHeight="1" x14ac:dyDescent="0.2">
      <c r="A626" s="68"/>
      <c r="B626" s="68"/>
      <c r="C626" s="64"/>
      <c r="D626" s="230" t="s">
        <v>959</v>
      </c>
      <c r="E626" s="64" t="s">
        <v>958</v>
      </c>
    </row>
    <row r="627" spans="1:5" s="98" customFormat="1" ht="15" customHeight="1" x14ac:dyDescent="0.2">
      <c r="A627" s="68"/>
      <c r="B627" s="68"/>
      <c r="C627" s="64"/>
      <c r="D627" s="230" t="s">
        <v>959</v>
      </c>
      <c r="E627" s="64" t="s">
        <v>958</v>
      </c>
    </row>
    <row r="628" spans="1:5" s="98" customFormat="1" ht="15" customHeight="1" x14ac:dyDescent="0.2">
      <c r="A628" s="68"/>
      <c r="B628" s="68"/>
      <c r="C628" s="64"/>
      <c r="D628" s="230" t="s">
        <v>959</v>
      </c>
      <c r="E628" s="64" t="s">
        <v>958</v>
      </c>
    </row>
    <row r="629" spans="1:5" s="98" customFormat="1" ht="15" customHeight="1" x14ac:dyDescent="0.2">
      <c r="A629" s="68"/>
      <c r="B629" s="68"/>
      <c r="C629" s="64"/>
      <c r="D629" s="230" t="s">
        <v>959</v>
      </c>
      <c r="E629" s="64" t="s">
        <v>958</v>
      </c>
    </row>
    <row r="630" spans="1:5" s="98" customFormat="1" ht="15" customHeight="1" x14ac:dyDescent="0.2">
      <c r="A630" s="68"/>
      <c r="B630" s="68"/>
      <c r="C630" s="64"/>
      <c r="D630" s="230" t="s">
        <v>959</v>
      </c>
      <c r="E630" s="64" t="s">
        <v>958</v>
      </c>
    </row>
    <row r="631" spans="1:5" s="98" customFormat="1" ht="15" customHeight="1" x14ac:dyDescent="0.2">
      <c r="A631" s="68"/>
      <c r="B631" s="68"/>
      <c r="C631" s="64"/>
      <c r="D631" s="230" t="s">
        <v>959</v>
      </c>
      <c r="E631" s="64" t="s">
        <v>958</v>
      </c>
    </row>
    <row r="632" spans="1:5" s="98" customFormat="1" ht="15" customHeight="1" x14ac:dyDescent="0.2">
      <c r="A632" s="68"/>
      <c r="B632" s="68"/>
      <c r="C632" s="64"/>
      <c r="D632" s="230" t="s">
        <v>959</v>
      </c>
      <c r="E632" s="64" t="s">
        <v>958</v>
      </c>
    </row>
    <row r="633" spans="1:5" s="98" customFormat="1" ht="15" customHeight="1" x14ac:dyDescent="0.2">
      <c r="A633" s="68"/>
      <c r="B633" s="68"/>
      <c r="C633" s="64"/>
      <c r="D633" s="230" t="s">
        <v>959</v>
      </c>
      <c r="E633" s="64" t="s">
        <v>958</v>
      </c>
    </row>
    <row r="634" spans="1:5" s="98" customFormat="1" ht="15" customHeight="1" x14ac:dyDescent="0.2">
      <c r="A634" s="68"/>
      <c r="B634" s="68"/>
      <c r="C634" s="64"/>
      <c r="D634" s="230" t="s">
        <v>959</v>
      </c>
      <c r="E634" s="64" t="s">
        <v>958</v>
      </c>
    </row>
    <row r="635" spans="1:5" s="98" customFormat="1" ht="15" customHeight="1" x14ac:dyDescent="0.2">
      <c r="A635" s="68"/>
      <c r="B635" s="68"/>
      <c r="C635" s="64"/>
      <c r="D635" s="230" t="s">
        <v>959</v>
      </c>
      <c r="E635" s="64" t="s">
        <v>958</v>
      </c>
    </row>
    <row r="636" spans="1:5" s="98" customFormat="1" ht="15" customHeight="1" x14ac:dyDescent="0.2">
      <c r="A636" s="68"/>
      <c r="B636" s="68"/>
      <c r="C636" s="64"/>
      <c r="D636" s="230" t="s">
        <v>959</v>
      </c>
      <c r="E636" s="64" t="s">
        <v>958</v>
      </c>
    </row>
    <row r="637" spans="1:5" s="98" customFormat="1" ht="15" customHeight="1" x14ac:dyDescent="0.2">
      <c r="A637" s="68"/>
      <c r="B637" s="68"/>
      <c r="C637" s="64"/>
      <c r="D637" s="230" t="s">
        <v>959</v>
      </c>
      <c r="E637" s="64" t="s">
        <v>958</v>
      </c>
    </row>
    <row r="638" spans="1:5" s="98" customFormat="1" ht="15" customHeight="1" x14ac:dyDescent="0.2">
      <c r="A638" s="68"/>
      <c r="B638" s="68"/>
      <c r="C638" s="64"/>
      <c r="D638" s="230" t="s">
        <v>959</v>
      </c>
      <c r="E638" s="64" t="s">
        <v>958</v>
      </c>
    </row>
    <row r="639" spans="1:5" s="98" customFormat="1" ht="15" customHeight="1" x14ac:dyDescent="0.2">
      <c r="A639" s="68"/>
      <c r="B639" s="68"/>
      <c r="C639" s="64"/>
      <c r="D639" s="230" t="s">
        <v>959</v>
      </c>
      <c r="E639" s="64" t="s">
        <v>958</v>
      </c>
    </row>
    <row r="640" spans="1:5" s="98" customFormat="1" ht="15" customHeight="1" x14ac:dyDescent="0.2">
      <c r="A640" s="68"/>
      <c r="B640" s="68"/>
      <c r="C640" s="64"/>
      <c r="D640" s="230" t="s">
        <v>959</v>
      </c>
      <c r="E640" s="64" t="s">
        <v>958</v>
      </c>
    </row>
    <row r="641" spans="1:5" s="98" customFormat="1" ht="15" customHeight="1" x14ac:dyDescent="0.2">
      <c r="A641" s="68"/>
      <c r="B641" s="68"/>
      <c r="C641" s="64"/>
      <c r="D641" s="230" t="s">
        <v>959</v>
      </c>
      <c r="E641" s="64" t="s">
        <v>958</v>
      </c>
    </row>
    <row r="642" spans="1:5" s="98" customFormat="1" ht="15" customHeight="1" x14ac:dyDescent="0.2">
      <c r="A642" s="68"/>
      <c r="B642" s="68"/>
      <c r="C642" s="64"/>
      <c r="D642" s="230" t="s">
        <v>959</v>
      </c>
      <c r="E642" s="64" t="s">
        <v>958</v>
      </c>
    </row>
    <row r="643" spans="1:5" s="98" customFormat="1" ht="15" customHeight="1" x14ac:dyDescent="0.2">
      <c r="A643" s="68"/>
      <c r="B643" s="68"/>
      <c r="C643" s="64"/>
      <c r="D643" s="230" t="s">
        <v>959</v>
      </c>
      <c r="E643" s="64" t="s">
        <v>958</v>
      </c>
    </row>
    <row r="644" spans="1:5" s="98" customFormat="1" ht="15" customHeight="1" x14ac:dyDescent="0.2">
      <c r="A644" s="68"/>
      <c r="B644" s="68"/>
      <c r="C644" s="64"/>
      <c r="D644" s="230" t="s">
        <v>959</v>
      </c>
      <c r="E644" s="64" t="s">
        <v>958</v>
      </c>
    </row>
    <row r="645" spans="1:5" s="98" customFormat="1" ht="15" customHeight="1" x14ac:dyDescent="0.2">
      <c r="A645" s="68"/>
      <c r="B645" s="68"/>
      <c r="C645" s="64"/>
      <c r="D645" s="230" t="s">
        <v>959</v>
      </c>
      <c r="E645" s="64" t="s">
        <v>958</v>
      </c>
    </row>
    <row r="646" spans="1:5" s="98" customFormat="1" ht="15" customHeight="1" x14ac:dyDescent="0.2">
      <c r="A646" s="68"/>
      <c r="B646" s="68"/>
      <c r="C646" s="64"/>
      <c r="D646" s="230" t="s">
        <v>959</v>
      </c>
      <c r="E646" s="64" t="s">
        <v>958</v>
      </c>
    </row>
    <row r="647" spans="1:5" s="98" customFormat="1" ht="15" customHeight="1" x14ac:dyDescent="0.2">
      <c r="A647" s="68"/>
      <c r="B647" s="68"/>
      <c r="C647" s="64"/>
      <c r="D647" s="230" t="s">
        <v>959</v>
      </c>
      <c r="E647" s="64" t="s">
        <v>958</v>
      </c>
    </row>
    <row r="648" spans="1:5" s="98" customFormat="1" ht="15" customHeight="1" x14ac:dyDescent="0.2">
      <c r="A648" s="68"/>
      <c r="B648" s="68"/>
      <c r="C648" s="64"/>
      <c r="D648" s="230" t="s">
        <v>959</v>
      </c>
      <c r="E648" s="64" t="s">
        <v>958</v>
      </c>
    </row>
    <row r="649" spans="1:5" s="98" customFormat="1" ht="15" customHeight="1" x14ac:dyDescent="0.2">
      <c r="A649" s="68"/>
      <c r="B649" s="68"/>
      <c r="C649" s="64"/>
      <c r="D649" s="230" t="s">
        <v>959</v>
      </c>
      <c r="E649" s="64" t="s">
        <v>958</v>
      </c>
    </row>
    <row r="650" spans="1:5" s="98" customFormat="1" ht="15" customHeight="1" x14ac:dyDescent="0.2">
      <c r="A650" s="68"/>
      <c r="B650" s="68"/>
      <c r="C650" s="64"/>
      <c r="D650" s="230" t="s">
        <v>959</v>
      </c>
      <c r="E650" s="64" t="s">
        <v>958</v>
      </c>
    </row>
    <row r="651" spans="1:5" s="98" customFormat="1" ht="15" customHeight="1" x14ac:dyDescent="0.2">
      <c r="A651" s="68"/>
      <c r="B651" s="68"/>
      <c r="C651" s="64"/>
      <c r="D651" s="230" t="s">
        <v>959</v>
      </c>
      <c r="E651" s="64" t="s">
        <v>958</v>
      </c>
    </row>
    <row r="652" spans="1:5" s="98" customFormat="1" ht="15" customHeight="1" x14ac:dyDescent="0.2">
      <c r="A652" s="68"/>
      <c r="B652" s="68"/>
      <c r="C652" s="64"/>
      <c r="D652" s="230" t="s">
        <v>959</v>
      </c>
      <c r="E652" s="64" t="s">
        <v>958</v>
      </c>
    </row>
    <row r="653" spans="1:5" s="98" customFormat="1" ht="15" customHeight="1" x14ac:dyDescent="0.2">
      <c r="A653" s="68"/>
      <c r="B653" s="68"/>
      <c r="C653" s="64"/>
      <c r="D653" s="230" t="s">
        <v>959</v>
      </c>
      <c r="E653" s="64" t="s">
        <v>958</v>
      </c>
    </row>
    <row r="654" spans="1:5" s="98" customFormat="1" ht="15" customHeight="1" x14ac:dyDescent="0.2">
      <c r="A654" s="68"/>
      <c r="B654" s="68"/>
      <c r="C654" s="64"/>
      <c r="D654" s="230" t="s">
        <v>959</v>
      </c>
      <c r="E654" s="64" t="s">
        <v>958</v>
      </c>
    </row>
    <row r="655" spans="1:5" s="98" customFormat="1" ht="15" customHeight="1" x14ac:dyDescent="0.2">
      <c r="A655" s="68"/>
      <c r="B655" s="68"/>
      <c r="C655" s="64"/>
      <c r="D655" s="230" t="s">
        <v>959</v>
      </c>
      <c r="E655" s="64" t="s">
        <v>958</v>
      </c>
    </row>
    <row r="656" spans="1:5" s="98" customFormat="1" ht="15" customHeight="1" x14ac:dyDescent="0.2">
      <c r="A656" s="68"/>
      <c r="B656" s="68"/>
      <c r="C656" s="64"/>
      <c r="D656" s="230" t="s">
        <v>959</v>
      </c>
      <c r="E656" s="64" t="s">
        <v>958</v>
      </c>
    </row>
    <row r="657" spans="1:5" s="98" customFormat="1" ht="15" customHeight="1" x14ac:dyDescent="0.2">
      <c r="A657" s="68"/>
      <c r="B657" s="68"/>
      <c r="C657" s="64"/>
      <c r="D657" s="230" t="s">
        <v>959</v>
      </c>
      <c r="E657" s="64" t="s">
        <v>958</v>
      </c>
    </row>
    <row r="658" spans="1:5" s="98" customFormat="1" ht="15" customHeight="1" x14ac:dyDescent="0.2">
      <c r="A658" s="68"/>
      <c r="B658" s="68"/>
      <c r="C658" s="64"/>
      <c r="D658" s="230" t="s">
        <v>959</v>
      </c>
      <c r="E658" s="64" t="s">
        <v>958</v>
      </c>
    </row>
    <row r="659" spans="1:5" s="98" customFormat="1" ht="15" customHeight="1" x14ac:dyDescent="0.2">
      <c r="A659" s="68"/>
      <c r="B659" s="68"/>
      <c r="C659" s="64"/>
      <c r="D659" s="230" t="s">
        <v>959</v>
      </c>
      <c r="E659" s="64" t="s">
        <v>958</v>
      </c>
    </row>
    <row r="660" spans="1:5" s="98" customFormat="1" ht="15" customHeight="1" x14ac:dyDescent="0.2">
      <c r="A660" s="68"/>
      <c r="B660" s="68"/>
      <c r="C660" s="64"/>
      <c r="D660" s="230" t="s">
        <v>959</v>
      </c>
      <c r="E660" s="64" t="s">
        <v>958</v>
      </c>
    </row>
    <row r="661" spans="1:5" s="98" customFormat="1" ht="15" customHeight="1" x14ac:dyDescent="0.2">
      <c r="A661" s="68"/>
      <c r="B661" s="68"/>
      <c r="C661" s="64"/>
      <c r="D661" s="230" t="s">
        <v>959</v>
      </c>
      <c r="E661" s="64" t="s">
        <v>958</v>
      </c>
    </row>
    <row r="662" spans="1:5" s="98" customFormat="1" ht="15" customHeight="1" x14ac:dyDescent="0.2">
      <c r="A662" s="68"/>
      <c r="B662" s="68"/>
      <c r="C662" s="64"/>
      <c r="D662" s="230" t="s">
        <v>959</v>
      </c>
      <c r="E662" s="64" t="s">
        <v>958</v>
      </c>
    </row>
    <row r="663" spans="1:5" s="98" customFormat="1" ht="15" customHeight="1" x14ac:dyDescent="0.2">
      <c r="A663" s="68"/>
      <c r="B663" s="68"/>
      <c r="C663" s="64"/>
      <c r="D663" s="230" t="s">
        <v>959</v>
      </c>
      <c r="E663" s="64" t="s">
        <v>958</v>
      </c>
    </row>
    <row r="664" spans="1:5" s="98" customFormat="1" ht="15" customHeight="1" x14ac:dyDescent="0.2">
      <c r="A664" s="68"/>
      <c r="B664" s="68"/>
      <c r="C664" s="64"/>
      <c r="D664" s="230" t="s">
        <v>959</v>
      </c>
      <c r="E664" s="64" t="s">
        <v>958</v>
      </c>
    </row>
    <row r="665" spans="1:5" s="98" customFormat="1" ht="15" customHeight="1" x14ac:dyDescent="0.2">
      <c r="A665" s="68"/>
      <c r="B665" s="68"/>
      <c r="C665" s="64"/>
      <c r="D665" s="230" t="s">
        <v>959</v>
      </c>
      <c r="E665" s="64" t="s">
        <v>958</v>
      </c>
    </row>
    <row r="666" spans="1:5" s="98" customFormat="1" ht="15" customHeight="1" x14ac:dyDescent="0.2">
      <c r="A666" s="68"/>
      <c r="B666" s="68"/>
      <c r="C666" s="64"/>
      <c r="D666" s="230" t="s">
        <v>959</v>
      </c>
      <c r="E666" s="64" t="s">
        <v>958</v>
      </c>
    </row>
    <row r="667" spans="1:5" s="98" customFormat="1" ht="15" customHeight="1" x14ac:dyDescent="0.2">
      <c r="A667" s="68"/>
      <c r="B667" s="68"/>
      <c r="C667" s="64"/>
      <c r="D667" s="230" t="s">
        <v>959</v>
      </c>
      <c r="E667" s="64" t="s">
        <v>958</v>
      </c>
    </row>
    <row r="668" spans="1:5" s="98" customFormat="1" ht="15" customHeight="1" x14ac:dyDescent="0.2">
      <c r="A668" s="68"/>
      <c r="B668" s="68"/>
      <c r="C668" s="64"/>
      <c r="D668" s="230" t="s">
        <v>959</v>
      </c>
      <c r="E668" s="64" t="s">
        <v>958</v>
      </c>
    </row>
    <row r="669" spans="1:5" s="98" customFormat="1" ht="15" customHeight="1" x14ac:dyDescent="0.2">
      <c r="A669" s="68"/>
      <c r="B669" s="68"/>
      <c r="C669" s="64"/>
      <c r="D669" s="230" t="s">
        <v>959</v>
      </c>
      <c r="E669" s="64" t="s">
        <v>958</v>
      </c>
    </row>
    <row r="670" spans="1:5" s="98" customFormat="1" ht="15" customHeight="1" x14ac:dyDescent="0.2">
      <c r="A670" s="68"/>
      <c r="B670" s="68"/>
      <c r="C670" s="64"/>
      <c r="D670" s="230" t="s">
        <v>959</v>
      </c>
      <c r="E670" s="64" t="s">
        <v>958</v>
      </c>
    </row>
    <row r="671" spans="1:5" s="98" customFormat="1" ht="15" customHeight="1" x14ac:dyDescent="0.2">
      <c r="A671" s="68"/>
      <c r="B671" s="68"/>
      <c r="C671" s="64"/>
      <c r="D671" s="230" t="s">
        <v>959</v>
      </c>
      <c r="E671" s="64" t="s">
        <v>958</v>
      </c>
    </row>
    <row r="672" spans="1:5" s="98" customFormat="1" ht="15" customHeight="1" x14ac:dyDescent="0.2">
      <c r="A672" s="68"/>
      <c r="B672" s="68"/>
      <c r="C672" s="64"/>
      <c r="D672" s="230" t="s">
        <v>959</v>
      </c>
      <c r="E672" s="64" t="s">
        <v>958</v>
      </c>
    </row>
    <row r="673" spans="1:5" s="98" customFormat="1" ht="15" customHeight="1" x14ac:dyDescent="0.2">
      <c r="A673" s="68"/>
      <c r="B673" s="68"/>
      <c r="C673" s="64"/>
      <c r="D673" s="230" t="s">
        <v>959</v>
      </c>
      <c r="E673" s="64" t="s">
        <v>958</v>
      </c>
    </row>
    <row r="674" spans="1:5" s="98" customFormat="1" ht="15" customHeight="1" x14ac:dyDescent="0.2">
      <c r="A674" s="68"/>
      <c r="B674" s="68"/>
      <c r="C674" s="64"/>
      <c r="D674" s="230" t="s">
        <v>959</v>
      </c>
      <c r="E674" s="64" t="s">
        <v>958</v>
      </c>
    </row>
    <row r="675" spans="1:5" s="98" customFormat="1" ht="15" customHeight="1" x14ac:dyDescent="0.2">
      <c r="A675" s="68"/>
      <c r="B675" s="68"/>
      <c r="C675" s="64"/>
      <c r="D675" s="230" t="s">
        <v>959</v>
      </c>
      <c r="E675" s="64" t="s">
        <v>958</v>
      </c>
    </row>
    <row r="676" spans="1:5" s="98" customFormat="1" ht="15" customHeight="1" x14ac:dyDescent="0.2">
      <c r="A676" s="68"/>
      <c r="B676" s="68"/>
      <c r="C676" s="64"/>
      <c r="D676" s="230" t="s">
        <v>959</v>
      </c>
      <c r="E676" s="64" t="s">
        <v>958</v>
      </c>
    </row>
    <row r="677" spans="1:5" s="98" customFormat="1" ht="15" customHeight="1" x14ac:dyDescent="0.2">
      <c r="A677" s="68"/>
      <c r="B677" s="68"/>
      <c r="C677" s="64"/>
      <c r="D677" s="230" t="s">
        <v>959</v>
      </c>
      <c r="E677" s="64" t="s">
        <v>958</v>
      </c>
    </row>
    <row r="678" spans="1:5" s="98" customFormat="1" ht="15" customHeight="1" x14ac:dyDescent="0.2">
      <c r="A678" s="68"/>
      <c r="B678" s="68"/>
      <c r="C678" s="64"/>
      <c r="D678" s="230" t="s">
        <v>959</v>
      </c>
      <c r="E678" s="64" t="s">
        <v>958</v>
      </c>
    </row>
    <row r="679" spans="1:5" s="98" customFormat="1" ht="15" customHeight="1" x14ac:dyDescent="0.2">
      <c r="A679" s="68"/>
      <c r="B679" s="68"/>
      <c r="C679" s="64"/>
      <c r="D679" s="230" t="s">
        <v>959</v>
      </c>
      <c r="E679" s="64" t="s">
        <v>958</v>
      </c>
    </row>
    <row r="680" spans="1:5" s="98" customFormat="1" ht="15" customHeight="1" x14ac:dyDescent="0.2">
      <c r="A680" s="68"/>
      <c r="B680" s="68"/>
      <c r="C680" s="64"/>
      <c r="D680" s="230" t="s">
        <v>959</v>
      </c>
      <c r="E680" s="64" t="s">
        <v>958</v>
      </c>
    </row>
    <row r="681" spans="1:5" s="98" customFormat="1" ht="15" customHeight="1" x14ac:dyDescent="0.2">
      <c r="A681" s="68"/>
      <c r="B681" s="68"/>
      <c r="C681" s="64"/>
      <c r="D681" s="230" t="s">
        <v>959</v>
      </c>
      <c r="E681" s="64" t="s">
        <v>958</v>
      </c>
    </row>
    <row r="682" spans="1:5" s="98" customFormat="1" ht="15" customHeight="1" x14ac:dyDescent="0.2">
      <c r="A682" s="68"/>
      <c r="B682" s="68"/>
      <c r="C682" s="64"/>
      <c r="D682" s="230" t="s">
        <v>959</v>
      </c>
      <c r="E682" s="64" t="s">
        <v>958</v>
      </c>
    </row>
    <row r="683" spans="1:5" s="98" customFormat="1" ht="15" customHeight="1" x14ac:dyDescent="0.2">
      <c r="A683" s="68"/>
      <c r="B683" s="68"/>
      <c r="C683" s="64"/>
      <c r="D683" s="230" t="s">
        <v>959</v>
      </c>
      <c r="E683" s="64" t="s">
        <v>958</v>
      </c>
    </row>
    <row r="684" spans="1:5" s="98" customFormat="1" ht="15" customHeight="1" x14ac:dyDescent="0.2">
      <c r="A684" s="68"/>
      <c r="B684" s="68"/>
      <c r="C684" s="64"/>
      <c r="D684" s="230" t="s">
        <v>959</v>
      </c>
      <c r="E684" s="64" t="s">
        <v>958</v>
      </c>
    </row>
    <row r="685" spans="1:5" s="98" customFormat="1" ht="15" customHeight="1" x14ac:dyDescent="0.2">
      <c r="A685" s="68"/>
      <c r="B685" s="68"/>
      <c r="C685" s="64"/>
      <c r="D685" s="230" t="s">
        <v>959</v>
      </c>
      <c r="E685" s="64" t="s">
        <v>958</v>
      </c>
    </row>
    <row r="686" spans="1:5" s="98" customFormat="1" ht="15" customHeight="1" x14ac:dyDescent="0.2">
      <c r="A686" s="68"/>
      <c r="B686" s="68"/>
      <c r="C686" s="64"/>
      <c r="D686" s="230" t="s">
        <v>959</v>
      </c>
      <c r="E686" s="64" t="s">
        <v>958</v>
      </c>
    </row>
    <row r="687" spans="1:5" s="98" customFormat="1" ht="15" customHeight="1" x14ac:dyDescent="0.2">
      <c r="A687" s="68"/>
      <c r="B687" s="68"/>
      <c r="C687" s="64"/>
      <c r="D687" s="230" t="s">
        <v>959</v>
      </c>
      <c r="E687" s="64" t="s">
        <v>958</v>
      </c>
    </row>
    <row r="688" spans="1:5" s="98" customFormat="1" ht="15" customHeight="1" x14ac:dyDescent="0.2">
      <c r="A688" s="68"/>
      <c r="B688" s="68"/>
      <c r="C688" s="64"/>
      <c r="D688" s="230" t="s">
        <v>959</v>
      </c>
      <c r="E688" s="64" t="s">
        <v>958</v>
      </c>
    </row>
    <row r="689" spans="1:5" s="98" customFormat="1" ht="15" customHeight="1" x14ac:dyDescent="0.2">
      <c r="A689" s="68"/>
      <c r="B689" s="68"/>
      <c r="C689" s="64"/>
      <c r="D689" s="230" t="s">
        <v>959</v>
      </c>
      <c r="E689" s="64" t="s">
        <v>958</v>
      </c>
    </row>
    <row r="690" spans="1:5" s="98" customFormat="1" ht="15" customHeight="1" x14ac:dyDescent="0.2">
      <c r="A690" s="68"/>
      <c r="B690" s="68"/>
      <c r="C690" s="64"/>
      <c r="D690" s="230" t="s">
        <v>959</v>
      </c>
      <c r="E690" s="64" t="s">
        <v>958</v>
      </c>
    </row>
    <row r="691" spans="1:5" s="98" customFormat="1" ht="15" customHeight="1" x14ac:dyDescent="0.2">
      <c r="A691" s="68"/>
      <c r="B691" s="68"/>
      <c r="C691" s="64"/>
      <c r="D691" s="230" t="s">
        <v>959</v>
      </c>
      <c r="E691" s="64" t="s">
        <v>958</v>
      </c>
    </row>
    <row r="692" spans="1:5" s="98" customFormat="1" ht="15" customHeight="1" x14ac:dyDescent="0.2">
      <c r="A692" s="68"/>
      <c r="B692" s="68"/>
      <c r="C692" s="64"/>
      <c r="D692" s="230" t="s">
        <v>959</v>
      </c>
      <c r="E692" s="64" t="s">
        <v>958</v>
      </c>
    </row>
    <row r="693" spans="1:5" s="98" customFormat="1" ht="15" customHeight="1" x14ac:dyDescent="0.2">
      <c r="A693" s="68"/>
      <c r="B693" s="68"/>
      <c r="C693" s="64"/>
      <c r="D693" s="230" t="s">
        <v>959</v>
      </c>
      <c r="E693" s="64" t="s">
        <v>958</v>
      </c>
    </row>
    <row r="694" spans="1:5" s="98" customFormat="1" ht="15" customHeight="1" x14ac:dyDescent="0.2">
      <c r="A694" s="68"/>
      <c r="B694" s="68"/>
      <c r="C694" s="64"/>
      <c r="D694" s="230" t="s">
        <v>959</v>
      </c>
      <c r="E694" s="64" t="s">
        <v>958</v>
      </c>
    </row>
    <row r="695" spans="1:5" s="98" customFormat="1" ht="15" customHeight="1" x14ac:dyDescent="0.2">
      <c r="A695" s="68"/>
      <c r="B695" s="68"/>
      <c r="C695" s="64"/>
      <c r="D695" s="230" t="s">
        <v>959</v>
      </c>
      <c r="E695" s="64" t="s">
        <v>958</v>
      </c>
    </row>
    <row r="696" spans="1:5" s="98" customFormat="1" ht="15" customHeight="1" x14ac:dyDescent="0.2">
      <c r="A696" s="68"/>
      <c r="B696" s="68"/>
      <c r="C696" s="64"/>
      <c r="D696" s="230" t="s">
        <v>959</v>
      </c>
      <c r="E696" s="64" t="s">
        <v>958</v>
      </c>
    </row>
    <row r="697" spans="1:5" s="98" customFormat="1" ht="15" customHeight="1" x14ac:dyDescent="0.2">
      <c r="A697" s="68"/>
      <c r="B697" s="68"/>
      <c r="C697" s="64"/>
      <c r="D697" s="230" t="s">
        <v>959</v>
      </c>
      <c r="E697" s="64" t="s">
        <v>958</v>
      </c>
    </row>
    <row r="698" spans="1:5" s="98" customFormat="1" ht="15" customHeight="1" x14ac:dyDescent="0.2">
      <c r="A698" s="68"/>
      <c r="B698" s="68"/>
      <c r="C698" s="64"/>
      <c r="D698" s="230" t="s">
        <v>959</v>
      </c>
      <c r="E698" s="64" t="s">
        <v>958</v>
      </c>
    </row>
    <row r="699" spans="1:5" s="98" customFormat="1" ht="15" customHeight="1" x14ac:dyDescent="0.2">
      <c r="A699" s="68"/>
      <c r="B699" s="68"/>
      <c r="C699" s="64"/>
      <c r="D699" s="230" t="s">
        <v>959</v>
      </c>
      <c r="E699" s="64" t="s">
        <v>958</v>
      </c>
    </row>
    <row r="700" spans="1:5" s="98" customFormat="1" ht="15" customHeight="1" x14ac:dyDescent="0.2">
      <c r="A700" s="68"/>
      <c r="B700" s="68"/>
      <c r="C700" s="64"/>
      <c r="D700" s="230" t="s">
        <v>959</v>
      </c>
      <c r="E700" s="64" t="s">
        <v>958</v>
      </c>
    </row>
    <row r="701" spans="1:5" s="98" customFormat="1" ht="15" customHeight="1" x14ac:dyDescent="0.2">
      <c r="A701" s="68"/>
      <c r="B701" s="68"/>
      <c r="C701" s="64"/>
      <c r="D701" s="230" t="s">
        <v>959</v>
      </c>
      <c r="E701" s="64" t="s">
        <v>958</v>
      </c>
    </row>
    <row r="702" spans="1:5" s="98" customFormat="1" ht="15" customHeight="1" x14ac:dyDescent="0.2">
      <c r="A702" s="68"/>
      <c r="B702" s="68"/>
      <c r="C702" s="64"/>
      <c r="D702" s="230" t="s">
        <v>959</v>
      </c>
      <c r="E702" s="64" t="s">
        <v>958</v>
      </c>
    </row>
    <row r="703" spans="1:5" s="98" customFormat="1" ht="15" customHeight="1" x14ac:dyDescent="0.2">
      <c r="A703" s="68"/>
      <c r="B703" s="68"/>
      <c r="C703" s="64"/>
      <c r="D703" s="230" t="s">
        <v>959</v>
      </c>
      <c r="E703" s="64" t="s">
        <v>958</v>
      </c>
    </row>
    <row r="704" spans="1:5" s="98" customFormat="1" ht="15" customHeight="1" x14ac:dyDescent="0.2">
      <c r="A704" s="68"/>
      <c r="B704" s="68"/>
      <c r="C704" s="64"/>
      <c r="D704" s="230" t="s">
        <v>959</v>
      </c>
      <c r="E704" s="64" t="s">
        <v>958</v>
      </c>
    </row>
    <row r="705" spans="1:5" s="98" customFormat="1" ht="15" customHeight="1" x14ac:dyDescent="0.2">
      <c r="A705" s="68"/>
      <c r="B705" s="68"/>
      <c r="C705" s="64"/>
      <c r="D705" s="230" t="s">
        <v>959</v>
      </c>
      <c r="E705" s="64" t="s">
        <v>958</v>
      </c>
    </row>
    <row r="706" spans="1:5" s="98" customFormat="1" ht="15" customHeight="1" x14ac:dyDescent="0.2">
      <c r="A706" s="68"/>
      <c r="B706" s="68"/>
      <c r="C706" s="64"/>
      <c r="D706" s="230" t="s">
        <v>959</v>
      </c>
      <c r="E706" s="64" t="s">
        <v>958</v>
      </c>
    </row>
    <row r="707" spans="1:5" s="98" customFormat="1" ht="15" customHeight="1" x14ac:dyDescent="0.2">
      <c r="A707" s="68"/>
      <c r="B707" s="68"/>
      <c r="C707" s="64"/>
      <c r="D707" s="230" t="s">
        <v>959</v>
      </c>
      <c r="E707" s="64" t="s">
        <v>958</v>
      </c>
    </row>
    <row r="708" spans="1:5" s="98" customFormat="1" ht="15" customHeight="1" x14ac:dyDescent="0.2">
      <c r="A708" s="68"/>
      <c r="B708" s="68"/>
      <c r="C708" s="64"/>
      <c r="D708" s="230" t="s">
        <v>959</v>
      </c>
      <c r="E708" s="64" t="s">
        <v>958</v>
      </c>
    </row>
    <row r="709" spans="1:5" s="98" customFormat="1" ht="15" customHeight="1" x14ac:dyDescent="0.2">
      <c r="A709" s="68"/>
      <c r="B709" s="68"/>
      <c r="C709" s="64"/>
      <c r="D709" s="230" t="s">
        <v>959</v>
      </c>
      <c r="E709" s="64" t="s">
        <v>958</v>
      </c>
    </row>
    <row r="710" spans="1:5" s="98" customFormat="1" ht="15" customHeight="1" x14ac:dyDescent="0.2">
      <c r="A710" s="68"/>
      <c r="B710" s="68"/>
      <c r="C710" s="64"/>
      <c r="D710" s="230" t="s">
        <v>959</v>
      </c>
      <c r="E710" s="64" t="s">
        <v>958</v>
      </c>
    </row>
    <row r="711" spans="1:5" s="98" customFormat="1" ht="15" customHeight="1" x14ac:dyDescent="0.2">
      <c r="A711" s="68"/>
      <c r="B711" s="68"/>
      <c r="C711" s="64"/>
      <c r="D711" s="230" t="s">
        <v>959</v>
      </c>
      <c r="E711" s="64" t="s">
        <v>958</v>
      </c>
    </row>
    <row r="712" spans="1:5" s="98" customFormat="1" ht="15" customHeight="1" x14ac:dyDescent="0.2">
      <c r="A712" s="68"/>
      <c r="B712" s="68"/>
      <c r="C712" s="64"/>
      <c r="D712" s="230" t="s">
        <v>959</v>
      </c>
      <c r="E712" s="64" t="s">
        <v>958</v>
      </c>
    </row>
    <row r="713" spans="1:5" s="98" customFormat="1" ht="15" customHeight="1" x14ac:dyDescent="0.2">
      <c r="A713" s="68"/>
      <c r="B713" s="68"/>
      <c r="C713" s="64"/>
      <c r="D713" s="230" t="s">
        <v>959</v>
      </c>
      <c r="E713" s="64" t="s">
        <v>958</v>
      </c>
    </row>
    <row r="714" spans="1:5" s="98" customFormat="1" ht="15" customHeight="1" x14ac:dyDescent="0.2">
      <c r="A714" s="68"/>
      <c r="B714" s="68"/>
      <c r="C714" s="64"/>
      <c r="D714" s="230" t="s">
        <v>959</v>
      </c>
      <c r="E714" s="64" t="s">
        <v>958</v>
      </c>
    </row>
    <row r="715" spans="1:5" s="98" customFormat="1" ht="15" customHeight="1" x14ac:dyDescent="0.2">
      <c r="A715" s="68"/>
      <c r="B715" s="68"/>
      <c r="C715" s="64"/>
      <c r="D715" s="230" t="s">
        <v>959</v>
      </c>
      <c r="E715" s="64" t="s">
        <v>958</v>
      </c>
    </row>
    <row r="716" spans="1:5" s="98" customFormat="1" ht="15" customHeight="1" x14ac:dyDescent="0.2">
      <c r="A716" s="68"/>
      <c r="B716" s="68"/>
      <c r="C716" s="64"/>
      <c r="D716" s="230" t="s">
        <v>959</v>
      </c>
      <c r="E716" s="64" t="s">
        <v>958</v>
      </c>
    </row>
    <row r="717" spans="1:5" s="98" customFormat="1" ht="15" customHeight="1" x14ac:dyDescent="0.2">
      <c r="A717" s="68"/>
      <c r="B717" s="68"/>
      <c r="C717" s="64"/>
      <c r="D717" s="230" t="s">
        <v>959</v>
      </c>
      <c r="E717" s="64" t="s">
        <v>958</v>
      </c>
    </row>
    <row r="718" spans="1:5" s="98" customFormat="1" ht="15" customHeight="1" x14ac:dyDescent="0.2">
      <c r="A718" s="68"/>
      <c r="B718" s="68"/>
      <c r="C718" s="64"/>
      <c r="D718" s="230" t="s">
        <v>959</v>
      </c>
      <c r="E718" s="64" t="s">
        <v>958</v>
      </c>
    </row>
    <row r="719" spans="1:5" s="98" customFormat="1" ht="15" customHeight="1" x14ac:dyDescent="0.2">
      <c r="A719" s="68"/>
      <c r="B719" s="68"/>
      <c r="C719" s="64"/>
      <c r="D719" s="230" t="s">
        <v>959</v>
      </c>
      <c r="E719" s="64" t="s">
        <v>958</v>
      </c>
    </row>
    <row r="720" spans="1:5" s="98" customFormat="1" ht="15" customHeight="1" x14ac:dyDescent="0.2">
      <c r="A720" s="68"/>
      <c r="B720" s="68"/>
      <c r="C720" s="64"/>
      <c r="D720" s="230" t="s">
        <v>959</v>
      </c>
      <c r="E720" s="64" t="s">
        <v>958</v>
      </c>
    </row>
    <row r="721" spans="1:5" s="98" customFormat="1" ht="15" customHeight="1" x14ac:dyDescent="0.2">
      <c r="A721" s="68"/>
      <c r="B721" s="68"/>
      <c r="C721" s="64"/>
      <c r="D721" s="230" t="s">
        <v>959</v>
      </c>
      <c r="E721" s="64" t="s">
        <v>958</v>
      </c>
    </row>
    <row r="722" spans="1:5" s="98" customFormat="1" ht="15" customHeight="1" x14ac:dyDescent="0.2">
      <c r="A722" s="68"/>
      <c r="B722" s="68"/>
      <c r="C722" s="64"/>
      <c r="D722" s="230" t="s">
        <v>959</v>
      </c>
      <c r="E722" s="64" t="s">
        <v>958</v>
      </c>
    </row>
    <row r="723" spans="1:5" s="98" customFormat="1" ht="15" customHeight="1" x14ac:dyDescent="0.2">
      <c r="A723" s="68"/>
      <c r="B723" s="68"/>
      <c r="C723" s="64"/>
      <c r="D723" s="230" t="s">
        <v>959</v>
      </c>
      <c r="E723" s="64" t="s">
        <v>958</v>
      </c>
    </row>
    <row r="724" spans="1:5" s="98" customFormat="1" ht="15" customHeight="1" x14ac:dyDescent="0.2">
      <c r="A724" s="68"/>
      <c r="B724" s="68"/>
      <c r="C724" s="64"/>
      <c r="D724" s="230" t="s">
        <v>959</v>
      </c>
      <c r="E724" s="64" t="s">
        <v>958</v>
      </c>
    </row>
    <row r="725" spans="1:5" s="98" customFormat="1" ht="15" customHeight="1" x14ac:dyDescent="0.2">
      <c r="A725" s="68"/>
      <c r="B725" s="68"/>
      <c r="C725" s="64"/>
      <c r="D725" s="230" t="s">
        <v>959</v>
      </c>
      <c r="E725" s="64" t="s">
        <v>958</v>
      </c>
    </row>
    <row r="726" spans="1:5" s="98" customFormat="1" ht="15" customHeight="1" x14ac:dyDescent="0.2">
      <c r="A726" s="68"/>
      <c r="B726" s="68"/>
      <c r="C726" s="64"/>
      <c r="D726" s="230" t="s">
        <v>959</v>
      </c>
      <c r="E726" s="64" t="s">
        <v>958</v>
      </c>
    </row>
    <row r="727" spans="1:5" s="98" customFormat="1" ht="15" customHeight="1" x14ac:dyDescent="0.2">
      <c r="A727" s="68"/>
      <c r="B727" s="68"/>
      <c r="C727" s="64"/>
      <c r="D727" s="230" t="s">
        <v>959</v>
      </c>
      <c r="E727" s="64" t="s">
        <v>958</v>
      </c>
    </row>
    <row r="728" spans="1:5" s="98" customFormat="1" ht="15" customHeight="1" x14ac:dyDescent="0.2">
      <c r="A728" s="68"/>
      <c r="B728" s="68"/>
      <c r="C728" s="64"/>
      <c r="D728" s="230" t="s">
        <v>959</v>
      </c>
      <c r="E728" s="64" t="s">
        <v>958</v>
      </c>
    </row>
    <row r="729" spans="1:5" s="98" customFormat="1" ht="15" customHeight="1" x14ac:dyDescent="0.2">
      <c r="A729" s="68"/>
      <c r="B729" s="68"/>
      <c r="C729" s="64"/>
      <c r="D729" s="230" t="s">
        <v>959</v>
      </c>
      <c r="E729" s="64" t="s">
        <v>958</v>
      </c>
    </row>
    <row r="730" spans="1:5" s="98" customFormat="1" ht="15" customHeight="1" x14ac:dyDescent="0.2">
      <c r="A730" s="68"/>
      <c r="B730" s="68"/>
      <c r="C730" s="64"/>
      <c r="D730" s="230" t="s">
        <v>959</v>
      </c>
      <c r="E730" s="64" t="s">
        <v>958</v>
      </c>
    </row>
    <row r="731" spans="1:5" s="98" customFormat="1" ht="15" customHeight="1" x14ac:dyDescent="0.2">
      <c r="A731" s="68"/>
      <c r="B731" s="68"/>
      <c r="C731" s="64"/>
      <c r="D731" s="230" t="s">
        <v>959</v>
      </c>
      <c r="E731" s="64" t="s">
        <v>958</v>
      </c>
    </row>
    <row r="732" spans="1:5" s="98" customFormat="1" ht="15" customHeight="1" x14ac:dyDescent="0.2">
      <c r="A732" s="68"/>
      <c r="B732" s="68"/>
      <c r="C732" s="64"/>
      <c r="D732" s="230" t="s">
        <v>959</v>
      </c>
      <c r="E732" s="64" t="s">
        <v>958</v>
      </c>
    </row>
    <row r="733" spans="1:5" s="98" customFormat="1" ht="15" customHeight="1" x14ac:dyDescent="0.2">
      <c r="A733" s="68"/>
      <c r="B733" s="68"/>
      <c r="C733" s="64"/>
      <c r="D733" s="230" t="s">
        <v>959</v>
      </c>
      <c r="E733" s="64" t="s">
        <v>958</v>
      </c>
    </row>
    <row r="734" spans="1:5" s="98" customFormat="1" ht="15" customHeight="1" x14ac:dyDescent="0.2">
      <c r="A734" s="68"/>
      <c r="B734" s="68"/>
      <c r="C734" s="64"/>
      <c r="D734" s="230" t="s">
        <v>959</v>
      </c>
      <c r="E734" s="64" t="s">
        <v>958</v>
      </c>
    </row>
    <row r="735" spans="1:5" s="98" customFormat="1" ht="15" customHeight="1" x14ac:dyDescent="0.2">
      <c r="A735" s="68"/>
      <c r="B735" s="68"/>
      <c r="C735" s="64"/>
      <c r="D735" s="230" t="s">
        <v>959</v>
      </c>
      <c r="E735" s="64" t="s">
        <v>958</v>
      </c>
    </row>
    <row r="736" spans="1:5" s="98" customFormat="1" ht="15" customHeight="1" x14ac:dyDescent="0.2">
      <c r="A736" s="68"/>
      <c r="B736" s="68"/>
      <c r="C736" s="64"/>
      <c r="D736" s="230" t="s">
        <v>959</v>
      </c>
      <c r="E736" s="64" t="s">
        <v>958</v>
      </c>
    </row>
    <row r="737" spans="1:5" s="98" customFormat="1" ht="15" customHeight="1" x14ac:dyDescent="0.2">
      <c r="A737" s="68"/>
      <c r="B737" s="68"/>
      <c r="C737" s="64"/>
      <c r="D737" s="230" t="s">
        <v>959</v>
      </c>
      <c r="E737" s="64" t="s">
        <v>958</v>
      </c>
    </row>
    <row r="738" spans="1:5" s="98" customFormat="1" ht="15" customHeight="1" x14ac:dyDescent="0.2">
      <c r="A738" s="68"/>
      <c r="B738" s="68"/>
      <c r="C738" s="64"/>
      <c r="D738" s="230" t="s">
        <v>959</v>
      </c>
      <c r="E738" s="64" t="s">
        <v>958</v>
      </c>
    </row>
    <row r="739" spans="1:5" s="98" customFormat="1" ht="15" customHeight="1" x14ac:dyDescent="0.2">
      <c r="A739" s="68"/>
      <c r="B739" s="68"/>
      <c r="C739" s="64"/>
      <c r="D739" s="230" t="s">
        <v>959</v>
      </c>
      <c r="E739" s="64" t="s">
        <v>958</v>
      </c>
    </row>
    <row r="740" spans="1:5" s="98" customFormat="1" ht="15" customHeight="1" x14ac:dyDescent="0.2">
      <c r="A740" s="68"/>
      <c r="B740" s="68"/>
      <c r="C740" s="64"/>
      <c r="D740" s="230" t="s">
        <v>959</v>
      </c>
      <c r="E740" s="64" t="s">
        <v>958</v>
      </c>
    </row>
    <row r="741" spans="1:5" s="98" customFormat="1" ht="15" customHeight="1" x14ac:dyDescent="0.2">
      <c r="A741" s="68"/>
      <c r="B741" s="68"/>
      <c r="C741" s="64"/>
      <c r="D741" s="230" t="s">
        <v>959</v>
      </c>
      <c r="E741" s="64" t="s">
        <v>958</v>
      </c>
    </row>
    <row r="742" spans="1:5" s="98" customFormat="1" ht="15" customHeight="1" x14ac:dyDescent="0.2">
      <c r="A742" s="68"/>
      <c r="B742" s="68"/>
      <c r="C742" s="64"/>
      <c r="D742" s="230" t="s">
        <v>959</v>
      </c>
      <c r="E742" s="64" t="s">
        <v>958</v>
      </c>
    </row>
    <row r="743" spans="1:5" s="98" customFormat="1" ht="15" customHeight="1" x14ac:dyDescent="0.2">
      <c r="A743" s="68"/>
      <c r="B743" s="68"/>
      <c r="C743" s="64"/>
      <c r="D743" s="230" t="s">
        <v>959</v>
      </c>
      <c r="E743" s="64" t="s">
        <v>958</v>
      </c>
    </row>
    <row r="744" spans="1:5" s="98" customFormat="1" ht="15" customHeight="1" x14ac:dyDescent="0.2">
      <c r="A744" s="68"/>
      <c r="B744" s="68"/>
      <c r="C744" s="64"/>
      <c r="D744" s="230" t="s">
        <v>959</v>
      </c>
      <c r="E744" s="64" t="s">
        <v>958</v>
      </c>
    </row>
    <row r="745" spans="1:5" s="98" customFormat="1" ht="15" customHeight="1" x14ac:dyDescent="0.2">
      <c r="A745" s="68"/>
      <c r="B745" s="68"/>
      <c r="C745" s="64"/>
      <c r="D745" s="230" t="s">
        <v>959</v>
      </c>
      <c r="E745" s="64" t="s">
        <v>958</v>
      </c>
    </row>
    <row r="746" spans="1:5" s="98" customFormat="1" ht="15" customHeight="1" x14ac:dyDescent="0.2">
      <c r="A746" s="68"/>
      <c r="B746" s="68"/>
      <c r="C746" s="64"/>
      <c r="D746" s="230" t="s">
        <v>959</v>
      </c>
      <c r="E746" s="64" t="s">
        <v>958</v>
      </c>
    </row>
    <row r="747" spans="1:5" s="98" customFormat="1" ht="15" customHeight="1" x14ac:dyDescent="0.2">
      <c r="A747" s="68"/>
      <c r="B747" s="68"/>
      <c r="C747" s="64"/>
      <c r="D747" s="230" t="s">
        <v>959</v>
      </c>
      <c r="E747" s="64" t="s">
        <v>958</v>
      </c>
    </row>
    <row r="748" spans="1:5" s="98" customFormat="1" ht="15" customHeight="1" x14ac:dyDescent="0.2">
      <c r="A748" s="68"/>
      <c r="B748" s="68"/>
      <c r="C748" s="64"/>
      <c r="D748" s="230" t="s">
        <v>959</v>
      </c>
      <c r="E748" s="64" t="s">
        <v>958</v>
      </c>
    </row>
    <row r="749" spans="1:5" s="98" customFormat="1" ht="15" customHeight="1" x14ac:dyDescent="0.2">
      <c r="A749" s="68"/>
      <c r="B749" s="68"/>
      <c r="C749" s="64"/>
      <c r="D749" s="230" t="s">
        <v>959</v>
      </c>
      <c r="E749" s="64" t="s">
        <v>958</v>
      </c>
    </row>
    <row r="750" spans="1:5" s="98" customFormat="1" ht="15" customHeight="1" x14ac:dyDescent="0.2">
      <c r="A750" s="68"/>
      <c r="B750" s="68"/>
      <c r="C750" s="64"/>
      <c r="D750" s="230" t="s">
        <v>959</v>
      </c>
      <c r="E750" s="64" t="s">
        <v>958</v>
      </c>
    </row>
    <row r="751" spans="1:5" s="98" customFormat="1" ht="15" customHeight="1" x14ac:dyDescent="0.2">
      <c r="A751" s="68"/>
      <c r="B751" s="68"/>
      <c r="C751" s="64"/>
      <c r="D751" s="230" t="s">
        <v>959</v>
      </c>
      <c r="E751" s="64" t="s">
        <v>958</v>
      </c>
    </row>
    <row r="752" spans="1:5" s="98" customFormat="1" ht="15" customHeight="1" x14ac:dyDescent="0.2">
      <c r="A752" s="68"/>
      <c r="B752" s="68"/>
      <c r="C752" s="64"/>
      <c r="D752" s="230" t="s">
        <v>959</v>
      </c>
      <c r="E752" s="64" t="s">
        <v>958</v>
      </c>
    </row>
    <row r="753" spans="1:5" s="98" customFormat="1" ht="15" customHeight="1" x14ac:dyDescent="0.2">
      <c r="A753" s="68"/>
      <c r="B753" s="68"/>
      <c r="C753" s="64"/>
      <c r="D753" s="230" t="s">
        <v>959</v>
      </c>
      <c r="E753" s="64" t="s">
        <v>958</v>
      </c>
    </row>
    <row r="754" spans="1:5" s="98" customFormat="1" ht="15" customHeight="1" x14ac:dyDescent="0.2">
      <c r="A754" s="68"/>
      <c r="B754" s="68"/>
      <c r="C754" s="64"/>
      <c r="D754" s="230" t="s">
        <v>959</v>
      </c>
      <c r="E754" s="64" t="s">
        <v>958</v>
      </c>
    </row>
    <row r="755" spans="1:5" s="98" customFormat="1" ht="15" customHeight="1" x14ac:dyDescent="0.2">
      <c r="A755" s="68"/>
      <c r="B755" s="68"/>
      <c r="C755" s="64"/>
      <c r="D755" s="230" t="s">
        <v>959</v>
      </c>
      <c r="E755" s="64" t="s">
        <v>958</v>
      </c>
    </row>
    <row r="756" spans="1:5" s="98" customFormat="1" ht="15" customHeight="1" x14ac:dyDescent="0.2">
      <c r="A756" s="68"/>
      <c r="B756" s="68"/>
      <c r="C756" s="64"/>
      <c r="D756" s="230" t="s">
        <v>959</v>
      </c>
      <c r="E756" s="64" t="s">
        <v>958</v>
      </c>
    </row>
    <row r="757" spans="1:5" s="98" customFormat="1" ht="15" customHeight="1" x14ac:dyDescent="0.2">
      <c r="A757" s="68"/>
      <c r="B757" s="68"/>
      <c r="C757" s="64"/>
      <c r="D757" s="230" t="s">
        <v>959</v>
      </c>
      <c r="E757" s="64" t="s">
        <v>958</v>
      </c>
    </row>
    <row r="758" spans="1:5" s="98" customFormat="1" ht="15" customHeight="1" x14ac:dyDescent="0.2">
      <c r="A758" s="68"/>
      <c r="B758" s="68"/>
      <c r="C758" s="64"/>
      <c r="D758" s="230" t="s">
        <v>959</v>
      </c>
      <c r="E758" s="64" t="s">
        <v>958</v>
      </c>
    </row>
    <row r="759" spans="1:5" s="98" customFormat="1" ht="15" customHeight="1" x14ac:dyDescent="0.2">
      <c r="A759" s="68"/>
      <c r="B759" s="68"/>
      <c r="C759" s="64"/>
      <c r="D759" s="230" t="s">
        <v>959</v>
      </c>
      <c r="E759" s="64" t="s">
        <v>958</v>
      </c>
    </row>
    <row r="760" spans="1:5" s="98" customFormat="1" ht="15" customHeight="1" x14ac:dyDescent="0.2">
      <c r="A760" s="68"/>
      <c r="B760" s="68"/>
      <c r="C760" s="64"/>
      <c r="D760" s="230" t="s">
        <v>959</v>
      </c>
      <c r="E760" s="64" t="s">
        <v>958</v>
      </c>
    </row>
    <row r="761" spans="1:5" s="98" customFormat="1" ht="15" customHeight="1" x14ac:dyDescent="0.2">
      <c r="A761" s="68"/>
      <c r="B761" s="68"/>
      <c r="C761" s="64"/>
      <c r="D761" s="230" t="s">
        <v>959</v>
      </c>
      <c r="E761" s="64" t="s">
        <v>958</v>
      </c>
    </row>
    <row r="762" spans="1:5" s="98" customFormat="1" ht="15" customHeight="1" x14ac:dyDescent="0.2">
      <c r="A762" s="68"/>
      <c r="B762" s="68"/>
      <c r="C762" s="64"/>
      <c r="D762" s="230" t="s">
        <v>959</v>
      </c>
      <c r="E762" s="64" t="s">
        <v>958</v>
      </c>
    </row>
    <row r="763" spans="1:5" s="98" customFormat="1" ht="15" customHeight="1" x14ac:dyDescent="0.2">
      <c r="A763" s="68"/>
      <c r="B763" s="68"/>
      <c r="C763" s="64"/>
      <c r="D763" s="230" t="s">
        <v>959</v>
      </c>
      <c r="E763" s="64" t="s">
        <v>958</v>
      </c>
    </row>
    <row r="764" spans="1:5" s="98" customFormat="1" ht="15" customHeight="1" x14ac:dyDescent="0.2">
      <c r="A764" s="68"/>
      <c r="B764" s="68"/>
      <c r="C764" s="64"/>
      <c r="D764" s="230" t="s">
        <v>959</v>
      </c>
      <c r="E764" s="64" t="s">
        <v>958</v>
      </c>
    </row>
    <row r="765" spans="1:5" s="98" customFormat="1" ht="15" customHeight="1" x14ac:dyDescent="0.2">
      <c r="A765" s="68"/>
      <c r="B765" s="68"/>
      <c r="C765" s="64"/>
      <c r="D765" s="230" t="s">
        <v>959</v>
      </c>
      <c r="E765" s="64" t="s">
        <v>958</v>
      </c>
    </row>
    <row r="766" spans="1:5" s="98" customFormat="1" ht="15" customHeight="1" x14ac:dyDescent="0.2">
      <c r="A766" s="68"/>
      <c r="B766" s="68"/>
      <c r="C766" s="64"/>
      <c r="D766" s="230" t="s">
        <v>959</v>
      </c>
      <c r="E766" s="64" t="s">
        <v>958</v>
      </c>
    </row>
    <row r="767" spans="1:5" s="98" customFormat="1" ht="15" customHeight="1" x14ac:dyDescent="0.2">
      <c r="A767" s="68"/>
      <c r="B767" s="68"/>
      <c r="C767" s="64"/>
      <c r="D767" s="230" t="s">
        <v>959</v>
      </c>
      <c r="E767" s="64" t="s">
        <v>958</v>
      </c>
    </row>
    <row r="768" spans="1:5" s="98" customFormat="1" ht="15" customHeight="1" x14ac:dyDescent="0.2">
      <c r="A768" s="68"/>
      <c r="B768" s="68"/>
      <c r="C768" s="64"/>
      <c r="D768" s="230" t="s">
        <v>959</v>
      </c>
      <c r="E768" s="64" t="s">
        <v>958</v>
      </c>
    </row>
    <row r="769" spans="1:5" s="98" customFormat="1" ht="15" customHeight="1" x14ac:dyDescent="0.2">
      <c r="A769" s="68"/>
      <c r="B769" s="68"/>
      <c r="C769" s="64"/>
      <c r="D769" s="230" t="s">
        <v>959</v>
      </c>
      <c r="E769" s="64" t="s">
        <v>958</v>
      </c>
    </row>
    <row r="770" spans="1:5" s="98" customFormat="1" ht="15" customHeight="1" x14ac:dyDescent="0.2">
      <c r="A770" s="68"/>
      <c r="B770" s="68"/>
      <c r="C770" s="64"/>
      <c r="D770" s="230" t="s">
        <v>959</v>
      </c>
      <c r="E770" s="64" t="s">
        <v>958</v>
      </c>
    </row>
    <row r="771" spans="1:5" s="98" customFormat="1" ht="15" customHeight="1" x14ac:dyDescent="0.2">
      <c r="A771" s="68"/>
      <c r="B771" s="68"/>
      <c r="C771" s="64"/>
      <c r="D771" s="230" t="s">
        <v>959</v>
      </c>
      <c r="E771" s="64" t="s">
        <v>958</v>
      </c>
    </row>
    <row r="772" spans="1:5" s="98" customFormat="1" ht="15" customHeight="1" x14ac:dyDescent="0.2">
      <c r="A772" s="68"/>
      <c r="B772" s="68"/>
      <c r="C772" s="64"/>
      <c r="D772" s="230" t="s">
        <v>959</v>
      </c>
      <c r="E772" s="64" t="s">
        <v>958</v>
      </c>
    </row>
    <row r="773" spans="1:5" s="98" customFormat="1" ht="15" customHeight="1" x14ac:dyDescent="0.2">
      <c r="A773" s="68"/>
      <c r="B773" s="68"/>
      <c r="C773" s="64"/>
      <c r="D773" s="230" t="s">
        <v>959</v>
      </c>
      <c r="E773" s="64" t="s">
        <v>958</v>
      </c>
    </row>
    <row r="774" spans="1:5" s="98" customFormat="1" ht="15" customHeight="1" x14ac:dyDescent="0.2">
      <c r="A774" s="68"/>
      <c r="B774" s="68"/>
      <c r="C774" s="64"/>
      <c r="D774" s="230" t="s">
        <v>959</v>
      </c>
      <c r="E774" s="64" t="s">
        <v>958</v>
      </c>
    </row>
    <row r="775" spans="1:5" s="98" customFormat="1" ht="15" customHeight="1" x14ac:dyDescent="0.2">
      <c r="A775" s="68"/>
      <c r="B775" s="68"/>
      <c r="C775" s="64"/>
      <c r="D775" s="230" t="s">
        <v>959</v>
      </c>
      <c r="E775" s="64" t="s">
        <v>958</v>
      </c>
    </row>
    <row r="776" spans="1:5" s="98" customFormat="1" ht="15" customHeight="1" x14ac:dyDescent="0.2">
      <c r="A776" s="68"/>
      <c r="B776" s="68"/>
      <c r="C776" s="64"/>
      <c r="D776" s="230" t="s">
        <v>959</v>
      </c>
      <c r="E776" s="64" t="s">
        <v>958</v>
      </c>
    </row>
    <row r="777" spans="1:5" s="98" customFormat="1" ht="15" customHeight="1" x14ac:dyDescent="0.2">
      <c r="A777" s="68"/>
      <c r="B777" s="68"/>
      <c r="C777" s="64"/>
      <c r="D777" s="230" t="s">
        <v>959</v>
      </c>
      <c r="E777" s="64" t="s">
        <v>958</v>
      </c>
    </row>
    <row r="778" spans="1:5" s="98" customFormat="1" ht="15" customHeight="1" x14ac:dyDescent="0.2">
      <c r="A778" s="68"/>
      <c r="B778" s="68"/>
      <c r="C778" s="64"/>
      <c r="D778" s="230" t="s">
        <v>959</v>
      </c>
      <c r="E778" s="64" t="s">
        <v>958</v>
      </c>
    </row>
    <row r="779" spans="1:5" s="98" customFormat="1" ht="15" customHeight="1" x14ac:dyDescent="0.2">
      <c r="A779" s="68"/>
      <c r="B779" s="68"/>
      <c r="C779" s="64"/>
      <c r="D779" s="230" t="s">
        <v>959</v>
      </c>
      <c r="E779" s="64" t="s">
        <v>958</v>
      </c>
    </row>
    <row r="780" spans="1:5" s="98" customFormat="1" ht="15" customHeight="1" x14ac:dyDescent="0.2">
      <c r="A780" s="68"/>
      <c r="B780" s="68"/>
      <c r="C780" s="64"/>
      <c r="D780" s="230" t="s">
        <v>959</v>
      </c>
      <c r="E780" s="64" t="s">
        <v>958</v>
      </c>
    </row>
    <row r="781" spans="1:5" s="98" customFormat="1" ht="15" customHeight="1" x14ac:dyDescent="0.2">
      <c r="A781" s="68"/>
      <c r="B781" s="68"/>
      <c r="C781" s="64"/>
      <c r="D781" s="230" t="s">
        <v>959</v>
      </c>
      <c r="E781" s="64" t="s">
        <v>958</v>
      </c>
    </row>
    <row r="782" spans="1:5" s="98" customFormat="1" ht="15" customHeight="1" x14ac:dyDescent="0.2">
      <c r="A782" s="68"/>
      <c r="B782" s="68"/>
      <c r="C782" s="64"/>
      <c r="D782" s="230" t="s">
        <v>959</v>
      </c>
      <c r="E782" s="64" t="s">
        <v>958</v>
      </c>
    </row>
    <row r="783" spans="1:5" s="98" customFormat="1" ht="15" customHeight="1" x14ac:dyDescent="0.2">
      <c r="A783" s="68"/>
      <c r="B783" s="68"/>
      <c r="C783" s="64"/>
      <c r="D783" s="230" t="s">
        <v>959</v>
      </c>
      <c r="E783" s="64" t="s">
        <v>958</v>
      </c>
    </row>
    <row r="784" spans="1:5" s="98" customFormat="1" ht="15" customHeight="1" x14ac:dyDescent="0.2">
      <c r="A784" s="68"/>
      <c r="B784" s="68"/>
      <c r="C784" s="64"/>
      <c r="D784" s="230" t="s">
        <v>959</v>
      </c>
      <c r="E784" s="64" t="s">
        <v>958</v>
      </c>
    </row>
    <row r="785" spans="1:5" s="98" customFormat="1" ht="15" customHeight="1" x14ac:dyDescent="0.2">
      <c r="A785" s="68"/>
      <c r="B785" s="68"/>
      <c r="C785" s="64"/>
      <c r="D785" s="230" t="s">
        <v>959</v>
      </c>
      <c r="E785" s="64" t="s">
        <v>958</v>
      </c>
    </row>
    <row r="786" spans="1:5" s="98" customFormat="1" ht="15" customHeight="1" x14ac:dyDescent="0.2">
      <c r="A786" s="68"/>
      <c r="B786" s="68"/>
      <c r="C786" s="64"/>
      <c r="D786" s="230" t="s">
        <v>959</v>
      </c>
      <c r="E786" s="64" t="s">
        <v>958</v>
      </c>
    </row>
    <row r="787" spans="1:5" s="98" customFormat="1" ht="15" customHeight="1" x14ac:dyDescent="0.2">
      <c r="A787" s="68"/>
      <c r="B787" s="68"/>
      <c r="C787" s="64"/>
      <c r="D787" s="230" t="s">
        <v>959</v>
      </c>
      <c r="E787" s="64" t="s">
        <v>958</v>
      </c>
    </row>
    <row r="788" spans="1:5" s="98" customFormat="1" ht="15" customHeight="1" x14ac:dyDescent="0.2">
      <c r="A788" s="68"/>
      <c r="B788" s="68"/>
      <c r="C788" s="64"/>
      <c r="D788" s="230" t="s">
        <v>959</v>
      </c>
      <c r="E788" s="64" t="s">
        <v>958</v>
      </c>
    </row>
    <row r="789" spans="1:5" s="98" customFormat="1" ht="15" customHeight="1" x14ac:dyDescent="0.2">
      <c r="A789" s="68"/>
      <c r="B789" s="68"/>
      <c r="C789" s="64"/>
      <c r="D789" s="230" t="s">
        <v>959</v>
      </c>
      <c r="E789" s="64" t="s">
        <v>958</v>
      </c>
    </row>
    <row r="790" spans="1:5" s="98" customFormat="1" ht="15" customHeight="1" x14ac:dyDescent="0.2">
      <c r="A790" s="68"/>
      <c r="B790" s="68"/>
      <c r="C790" s="64"/>
      <c r="D790" s="230" t="s">
        <v>959</v>
      </c>
      <c r="E790" s="64" t="s">
        <v>958</v>
      </c>
    </row>
    <row r="791" spans="1:5" s="98" customFormat="1" ht="15" customHeight="1" x14ac:dyDescent="0.2">
      <c r="A791" s="68"/>
      <c r="B791" s="68"/>
      <c r="C791" s="64"/>
      <c r="D791" s="230" t="s">
        <v>959</v>
      </c>
      <c r="E791" s="64" t="s">
        <v>958</v>
      </c>
    </row>
    <row r="792" spans="1:5" s="98" customFormat="1" ht="15" customHeight="1" x14ac:dyDescent="0.2">
      <c r="A792" s="68"/>
      <c r="B792" s="68"/>
      <c r="C792" s="64"/>
      <c r="D792" s="230" t="s">
        <v>959</v>
      </c>
      <c r="E792" s="64" t="s">
        <v>958</v>
      </c>
    </row>
    <row r="793" spans="1:5" s="98" customFormat="1" ht="15" customHeight="1" x14ac:dyDescent="0.2">
      <c r="A793" s="68"/>
      <c r="B793" s="68"/>
      <c r="C793" s="64"/>
      <c r="D793" s="230" t="s">
        <v>959</v>
      </c>
      <c r="E793" s="64" t="s">
        <v>958</v>
      </c>
    </row>
    <row r="794" spans="1:5" s="98" customFormat="1" ht="15" customHeight="1" x14ac:dyDescent="0.2">
      <c r="A794" s="68"/>
      <c r="B794" s="68"/>
      <c r="C794" s="64"/>
      <c r="D794" s="230" t="s">
        <v>959</v>
      </c>
      <c r="E794" s="64" t="s">
        <v>958</v>
      </c>
    </row>
    <row r="795" spans="1:5" s="98" customFormat="1" ht="15" customHeight="1" x14ac:dyDescent="0.2">
      <c r="A795" s="68"/>
      <c r="B795" s="68"/>
      <c r="C795" s="64"/>
      <c r="D795" s="230" t="s">
        <v>959</v>
      </c>
      <c r="E795" s="64" t="s">
        <v>958</v>
      </c>
    </row>
    <row r="796" spans="1:5" s="98" customFormat="1" ht="15" customHeight="1" x14ac:dyDescent="0.2">
      <c r="A796" s="68"/>
      <c r="B796" s="68"/>
      <c r="C796" s="64"/>
      <c r="D796" s="230" t="s">
        <v>959</v>
      </c>
      <c r="E796" s="64" t="s">
        <v>958</v>
      </c>
    </row>
    <row r="797" spans="1:5" s="98" customFormat="1" ht="15" customHeight="1" x14ac:dyDescent="0.2">
      <c r="A797" s="68"/>
      <c r="B797" s="68"/>
      <c r="C797" s="64"/>
      <c r="D797" s="230" t="s">
        <v>959</v>
      </c>
      <c r="E797" s="64" t="s">
        <v>958</v>
      </c>
    </row>
    <row r="798" spans="1:5" s="98" customFormat="1" ht="15" customHeight="1" x14ac:dyDescent="0.2">
      <c r="A798" s="68"/>
      <c r="B798" s="68"/>
      <c r="C798" s="64"/>
      <c r="D798" s="230" t="s">
        <v>959</v>
      </c>
      <c r="E798" s="64" t="s">
        <v>958</v>
      </c>
    </row>
    <row r="799" spans="1:5" s="98" customFormat="1" ht="15" customHeight="1" x14ac:dyDescent="0.2">
      <c r="A799" s="68"/>
      <c r="B799" s="68"/>
      <c r="C799" s="64"/>
      <c r="D799" s="230" t="s">
        <v>959</v>
      </c>
      <c r="E799" s="64" t="s">
        <v>958</v>
      </c>
    </row>
    <row r="800" spans="1:5" s="98" customFormat="1" ht="15" customHeight="1" x14ac:dyDescent="0.2">
      <c r="A800" s="68"/>
      <c r="B800" s="68"/>
      <c r="C800" s="64"/>
      <c r="D800" s="230" t="s">
        <v>959</v>
      </c>
      <c r="E800" s="64" t="s">
        <v>958</v>
      </c>
    </row>
    <row r="801" spans="1:5" s="98" customFormat="1" ht="15" customHeight="1" x14ac:dyDescent="0.2">
      <c r="A801" s="68"/>
      <c r="B801" s="68"/>
      <c r="C801" s="64"/>
      <c r="D801" s="230" t="s">
        <v>959</v>
      </c>
      <c r="E801" s="64" t="s">
        <v>958</v>
      </c>
    </row>
    <row r="802" spans="1:5" s="98" customFormat="1" ht="15" customHeight="1" x14ac:dyDescent="0.2">
      <c r="A802" s="68"/>
      <c r="B802" s="68"/>
      <c r="C802" s="64"/>
      <c r="D802" s="230" t="s">
        <v>959</v>
      </c>
      <c r="E802" s="64" t="s">
        <v>958</v>
      </c>
    </row>
    <row r="803" spans="1:5" s="98" customFormat="1" ht="15" customHeight="1" x14ac:dyDescent="0.2">
      <c r="A803" s="68"/>
      <c r="B803" s="68"/>
      <c r="C803" s="64"/>
      <c r="D803" s="230" t="s">
        <v>959</v>
      </c>
      <c r="E803" s="64" t="s">
        <v>958</v>
      </c>
    </row>
    <row r="804" spans="1:5" s="98" customFormat="1" ht="15" customHeight="1" x14ac:dyDescent="0.2">
      <c r="A804" s="68"/>
      <c r="B804" s="68"/>
      <c r="C804" s="64"/>
      <c r="D804" s="230" t="s">
        <v>959</v>
      </c>
      <c r="E804" s="64" t="s">
        <v>958</v>
      </c>
    </row>
    <row r="805" spans="1:5" s="98" customFormat="1" ht="15" customHeight="1" x14ac:dyDescent="0.2">
      <c r="A805" s="68"/>
      <c r="B805" s="68"/>
      <c r="C805" s="64"/>
      <c r="D805" s="230" t="s">
        <v>959</v>
      </c>
      <c r="E805" s="64" t="s">
        <v>958</v>
      </c>
    </row>
    <row r="806" spans="1:5" s="98" customFormat="1" ht="15" customHeight="1" x14ac:dyDescent="0.2">
      <c r="A806" s="68"/>
      <c r="B806" s="68"/>
      <c r="C806" s="64"/>
      <c r="D806" s="230" t="s">
        <v>959</v>
      </c>
      <c r="E806" s="64" t="s">
        <v>958</v>
      </c>
    </row>
    <row r="807" spans="1:5" s="98" customFormat="1" ht="15" customHeight="1" x14ac:dyDescent="0.2">
      <c r="A807" s="68"/>
      <c r="B807" s="68"/>
      <c r="C807" s="64"/>
      <c r="D807" s="230" t="s">
        <v>959</v>
      </c>
      <c r="E807" s="64" t="s">
        <v>958</v>
      </c>
    </row>
    <row r="808" spans="1:5" s="98" customFormat="1" ht="15" customHeight="1" x14ac:dyDescent="0.2">
      <c r="A808" s="68"/>
      <c r="B808" s="68"/>
      <c r="C808" s="64"/>
      <c r="D808" s="230" t="s">
        <v>959</v>
      </c>
      <c r="E808" s="64" t="s">
        <v>958</v>
      </c>
    </row>
    <row r="809" spans="1:5" s="98" customFormat="1" ht="15" customHeight="1" x14ac:dyDescent="0.2">
      <c r="A809" s="68"/>
      <c r="B809" s="68"/>
      <c r="C809" s="64"/>
      <c r="D809" s="230" t="s">
        <v>959</v>
      </c>
      <c r="E809" s="64" t="s">
        <v>958</v>
      </c>
    </row>
    <row r="810" spans="1:5" s="98" customFormat="1" ht="15" customHeight="1" x14ac:dyDescent="0.2">
      <c r="A810" s="68"/>
      <c r="B810" s="68"/>
      <c r="C810" s="64"/>
      <c r="D810" s="230" t="s">
        <v>959</v>
      </c>
      <c r="E810" s="64" t="s">
        <v>958</v>
      </c>
    </row>
    <row r="811" spans="1:5" s="98" customFormat="1" ht="15" customHeight="1" x14ac:dyDescent="0.2">
      <c r="A811" s="68"/>
      <c r="B811" s="68"/>
      <c r="C811" s="64"/>
      <c r="D811" s="230" t="s">
        <v>959</v>
      </c>
      <c r="E811" s="64" t="s">
        <v>958</v>
      </c>
    </row>
    <row r="812" spans="1:5" s="98" customFormat="1" ht="15" customHeight="1" x14ac:dyDescent="0.2">
      <c r="A812" s="68"/>
      <c r="B812" s="68"/>
      <c r="C812" s="64"/>
      <c r="D812" s="230" t="s">
        <v>959</v>
      </c>
      <c r="E812" s="64" t="s">
        <v>958</v>
      </c>
    </row>
    <row r="813" spans="1:5" s="98" customFormat="1" ht="15" customHeight="1" x14ac:dyDescent="0.2">
      <c r="A813" s="68"/>
      <c r="B813" s="68"/>
      <c r="C813" s="64"/>
      <c r="D813" s="230" t="s">
        <v>959</v>
      </c>
      <c r="E813" s="64" t="s">
        <v>958</v>
      </c>
    </row>
    <row r="814" spans="1:5" s="98" customFormat="1" ht="15" customHeight="1" x14ac:dyDescent="0.2">
      <c r="A814" s="68"/>
      <c r="B814" s="68"/>
      <c r="C814" s="64"/>
      <c r="D814" s="230" t="s">
        <v>959</v>
      </c>
      <c r="E814" s="64" t="s">
        <v>958</v>
      </c>
    </row>
    <row r="815" spans="1:5" s="98" customFormat="1" ht="15" customHeight="1" x14ac:dyDescent="0.2">
      <c r="A815" s="68"/>
      <c r="B815" s="68"/>
      <c r="C815" s="64"/>
      <c r="D815" s="230" t="s">
        <v>959</v>
      </c>
      <c r="E815" s="64"/>
    </row>
    <row r="816" spans="1:5" s="98" customFormat="1" ht="15" customHeight="1" x14ac:dyDescent="0.2">
      <c r="A816" s="68"/>
      <c r="B816" s="68"/>
      <c r="C816" s="64"/>
      <c r="D816" s="230" t="s">
        <v>959</v>
      </c>
      <c r="E816" s="64"/>
    </row>
    <row r="817" spans="1:4" s="98" customFormat="1" ht="15" customHeight="1" x14ac:dyDescent="0.2">
      <c r="A817" s="68"/>
      <c r="B817" s="68"/>
      <c r="C817" s="64"/>
      <c r="D817" s="230" t="s">
        <v>959</v>
      </c>
    </row>
    <row r="818" spans="1:4" s="98" customFormat="1" ht="15" customHeight="1" x14ac:dyDescent="0.2">
      <c r="A818" s="68"/>
      <c r="B818" s="68"/>
      <c r="C818" s="64"/>
      <c r="D818" s="230" t="s">
        <v>959</v>
      </c>
    </row>
  </sheetData>
  <phoneticPr fontId="72"/>
  <conditionalFormatting sqref="E815:E63953">
    <cfRule type="expression" dxfId="5" priority="1">
      <formula>ISERROR(MATCH(E815,INDIRECT($W$2),0))</formula>
    </cfRule>
  </conditionalFormatting>
  <conditionalFormatting sqref="A3:R814">
    <cfRule type="expression" dxfId="4" priority="2" stopIfTrue="1">
      <formula>AND(ROW(A3)=$Z$1,COLUMN(A3)=$Z$2)</formula>
    </cfRule>
    <cfRule type="expression" dxfId="3" priority="3" stopIfTrue="1">
      <formula>OR(AND(ROW(A3)=$Z$1,COLUMN(A3)&lt;$Z$2),AND(ROW(A3)&lt;$Z$1,COLUMN(A3)=$Z$2))</formula>
    </cfRule>
  </conditionalFormatting>
  <dataValidations count="7">
    <dataValidation type="list" allowBlank="1" showInputMessage="1" showErrorMessage="1" sqref="A819:A63953" xr:uid="{00000000-0002-0000-0F00-000000000000}">
      <formula1>INDIRECT($X$2)</formula1>
    </dataValidation>
    <dataValidation type="list" allowBlank="1" showErrorMessage="1" errorTitle="Divsion Error" error="The division must be in the list on the Setup sheet." promptTitle="Division" prompt="Use the pulldown list to ensur" sqref="E3:E1048576" xr:uid="{00000000-0002-0000-0F00-000001000000}">
      <formula1>INDIRECT($V$2)</formula1>
    </dataValidation>
    <dataValidation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_x000a_Must be UPPER CASE LETTERS" sqref="N3:N63953" xr:uid="{00000000-0002-0000-0F00-000002000000}"/>
    <dataValidation type="list" allowBlank="1" showErrorMessage="1" promptTitle="Events Entered" prompt="Typw in the approapriate 2-lletter code to indicate the Evetns the lifter will be competing in_x000a_PL = Powerlifting (3-lift)_x000a_BP = Benvch  Press_x000a_DL= Deadlift_x000a_PP = Push/Pull (BP + DL)" sqref="P3:P1048576" xr:uid="{00000000-0002-0000-0F00-000003000000}">
      <formula1>"Yes,No"</formula1>
    </dataValidation>
    <dataValidation type="custom" errorStyle="warning" allowBlank="1" showInputMessage="1" showErrorMessage="1" errorTitle="Check Entered Weight" error="Must be a multiple of 2.5 kg/5 lb unless this is a World Record attempt" sqref="L3:M63953 J3:J63953" xr:uid="{00000000-0002-0000-0F00-000004000000}">
      <formula1>AND(MOD(J3,IF($T$2="Lb",5,2.5))=0)</formula1>
    </dataValidation>
    <dataValidation type="list" allowBlank="1" showDropDown="1" showInputMessage="1" showErrorMessage="1" sqref="O3:O1048576" xr:uid="{00000000-0002-0000-0F00-000005000000}">
      <formula1>INDIRECT($Y$2)</formula1>
    </dataValidation>
    <dataValidation type="list" allowBlank="1" showInputMessage="1" showErrorMessage="1" sqref="A3:A818" xr:uid="{00000000-0002-0000-0F00-000006000000}">
      <formula1>"A,B,C,D,E,F,G,H"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983072E5-A9A8-49DE-913E-D3BB7C9F7433}">
            <xm:f>AND(ISERROR(MATCH(A3,Setup!$Q$5:$Q$20,0)))</xm:f>
            <x14:dxf>
              <font>
                <b/>
                <i val="0"/>
                <color indexed="10"/>
              </font>
              <fill>
                <patternFill>
                  <bgColor indexed="9"/>
                </patternFill>
              </fill>
            </x14:dxf>
          </x14:cfRule>
          <xm:sqref>A3:A814</xm:sqref>
        </x14:conditionalFormatting>
        <x14:conditionalFormatting xmlns:xm="http://schemas.microsoft.com/office/excel/2006/main">
          <x14:cfRule type="expression" priority="5" stopIfTrue="1" id="{5076BDFD-9F67-47AD-8341-6E9727165A77}">
            <xm:f>AND(ISERROR(MATCH(D3,Setup!$M$6:$M$93,0)))</xm:f>
            <x14:dxf>
              <font>
                <b/>
                <i val="0"/>
                <color indexed="10"/>
              </font>
              <fill>
                <patternFill>
                  <bgColor indexed="9"/>
                </patternFill>
              </fill>
            </x14:dxf>
          </x14:cfRule>
          <xm:sqref>D3:D814</xm:sqref>
        </x14:conditionalFormatting>
        <x14:conditionalFormatting xmlns:xm="http://schemas.microsoft.com/office/excel/2006/main">
          <x14:cfRule type="expression" priority="6" stopIfTrue="1" id="{D34FA583-50D1-425E-AE50-410953164371}">
            <xm:f>AND(ISERROR(MATCH(E3,Setup!$I$6:$I$92,0)))</xm:f>
            <x14:dxf>
              <font>
                <b/>
                <i val="0"/>
                <color indexed="10"/>
              </font>
              <fill>
                <patternFill>
                  <bgColor indexed="9"/>
                </patternFill>
              </fill>
            </x14:dxf>
          </x14:cfRule>
          <xm:sqref>E3:E814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K61"/>
  <sheetViews>
    <sheetView topLeftCell="A19" workbookViewId="0">
      <selection activeCell="I23" sqref="I23:I55"/>
    </sheetView>
  </sheetViews>
  <sheetFormatPr defaultRowHeight="12.75" x14ac:dyDescent="0.2"/>
  <cols>
    <col min="1" max="1" width="7.85546875" style="254" customWidth="1"/>
    <col min="2" max="2" width="5.42578125" style="232" customWidth="1"/>
    <col min="3" max="3" width="9.140625" style="255"/>
    <col min="4" max="4" width="11" style="255" customWidth="1"/>
    <col min="5" max="5" width="8.5703125" style="255" customWidth="1"/>
    <col min="6" max="6" width="19.85546875" style="255" customWidth="1"/>
    <col min="7" max="7" width="5.5703125" style="255" customWidth="1"/>
    <col min="8" max="8" width="9.140625" style="255"/>
    <col min="9" max="9" width="32.28515625" style="232" customWidth="1"/>
    <col min="10" max="254" width="9.140625" style="232"/>
    <col min="255" max="255" width="7.85546875" style="232" customWidth="1"/>
    <col min="256" max="256" width="8.85546875" style="232" customWidth="1"/>
    <col min="257" max="257" width="5.42578125" style="232" customWidth="1"/>
    <col min="258" max="258" width="9.140625" style="232"/>
    <col min="259" max="259" width="11" style="232" customWidth="1"/>
    <col min="260" max="260" width="8.5703125" style="232" customWidth="1"/>
    <col min="261" max="261" width="14.42578125" style="232" customWidth="1"/>
    <col min="262" max="262" width="5.5703125" style="232" customWidth="1"/>
    <col min="263" max="263" width="9.140625" style="232"/>
    <col min="264" max="264" width="32.28515625" style="232" customWidth="1"/>
    <col min="265" max="265" width="12.140625" style="232" customWidth="1"/>
    <col min="266" max="510" width="9.140625" style="232"/>
    <col min="511" max="511" width="7.85546875" style="232" customWidth="1"/>
    <col min="512" max="512" width="8.85546875" style="232" customWidth="1"/>
    <col min="513" max="513" width="5.42578125" style="232" customWidth="1"/>
    <col min="514" max="514" width="9.140625" style="232"/>
    <col min="515" max="515" width="11" style="232" customWidth="1"/>
    <col min="516" max="516" width="8.5703125" style="232" customWidth="1"/>
    <col min="517" max="517" width="14.42578125" style="232" customWidth="1"/>
    <col min="518" max="518" width="5.5703125" style="232" customWidth="1"/>
    <col min="519" max="519" width="9.140625" style="232"/>
    <col min="520" max="520" width="32.28515625" style="232" customWidth="1"/>
    <col min="521" max="521" width="12.140625" style="232" customWidth="1"/>
    <col min="522" max="766" width="9.140625" style="232"/>
    <col min="767" max="767" width="7.85546875" style="232" customWidth="1"/>
    <col min="768" max="768" width="8.85546875" style="232" customWidth="1"/>
    <col min="769" max="769" width="5.42578125" style="232" customWidth="1"/>
    <col min="770" max="770" width="9.140625" style="232"/>
    <col min="771" max="771" width="11" style="232" customWidth="1"/>
    <col min="772" max="772" width="8.5703125" style="232" customWidth="1"/>
    <col min="773" max="773" width="14.42578125" style="232" customWidth="1"/>
    <col min="774" max="774" width="5.5703125" style="232" customWidth="1"/>
    <col min="775" max="775" width="9.140625" style="232"/>
    <col min="776" max="776" width="32.28515625" style="232" customWidth="1"/>
    <col min="777" max="777" width="12.140625" style="232" customWidth="1"/>
    <col min="778" max="1022" width="9.140625" style="232"/>
    <col min="1023" max="1023" width="7.85546875" style="232" customWidth="1"/>
    <col min="1024" max="1024" width="8.85546875" style="232" customWidth="1"/>
    <col min="1025" max="1025" width="5.42578125" style="232" customWidth="1"/>
    <col min="1026" max="1026" width="9.140625" style="232"/>
    <col min="1027" max="1027" width="11" style="232" customWidth="1"/>
    <col min="1028" max="1028" width="8.5703125" style="232" customWidth="1"/>
    <col min="1029" max="1029" width="14.42578125" style="232" customWidth="1"/>
    <col min="1030" max="1030" width="5.5703125" style="232" customWidth="1"/>
    <col min="1031" max="1031" width="9.140625" style="232"/>
    <col min="1032" max="1032" width="32.28515625" style="232" customWidth="1"/>
    <col min="1033" max="1033" width="12.140625" style="232" customWidth="1"/>
    <col min="1034" max="1278" width="9.140625" style="232"/>
    <col min="1279" max="1279" width="7.85546875" style="232" customWidth="1"/>
    <col min="1280" max="1280" width="8.85546875" style="232" customWidth="1"/>
    <col min="1281" max="1281" width="5.42578125" style="232" customWidth="1"/>
    <col min="1282" max="1282" width="9.140625" style="232"/>
    <col min="1283" max="1283" width="11" style="232" customWidth="1"/>
    <col min="1284" max="1284" width="8.5703125" style="232" customWidth="1"/>
    <col min="1285" max="1285" width="14.42578125" style="232" customWidth="1"/>
    <col min="1286" max="1286" width="5.5703125" style="232" customWidth="1"/>
    <col min="1287" max="1287" width="9.140625" style="232"/>
    <col min="1288" max="1288" width="32.28515625" style="232" customWidth="1"/>
    <col min="1289" max="1289" width="12.140625" style="232" customWidth="1"/>
    <col min="1290" max="1534" width="9.140625" style="232"/>
    <col min="1535" max="1535" width="7.85546875" style="232" customWidth="1"/>
    <col min="1536" max="1536" width="8.85546875" style="232" customWidth="1"/>
    <col min="1537" max="1537" width="5.42578125" style="232" customWidth="1"/>
    <col min="1538" max="1538" width="9.140625" style="232"/>
    <col min="1539" max="1539" width="11" style="232" customWidth="1"/>
    <col min="1540" max="1540" width="8.5703125" style="232" customWidth="1"/>
    <col min="1541" max="1541" width="14.42578125" style="232" customWidth="1"/>
    <col min="1542" max="1542" width="5.5703125" style="232" customWidth="1"/>
    <col min="1543" max="1543" width="9.140625" style="232"/>
    <col min="1544" max="1544" width="32.28515625" style="232" customWidth="1"/>
    <col min="1545" max="1545" width="12.140625" style="232" customWidth="1"/>
    <col min="1546" max="1790" width="9.140625" style="232"/>
    <col min="1791" max="1791" width="7.85546875" style="232" customWidth="1"/>
    <col min="1792" max="1792" width="8.85546875" style="232" customWidth="1"/>
    <col min="1793" max="1793" width="5.42578125" style="232" customWidth="1"/>
    <col min="1794" max="1794" width="9.140625" style="232"/>
    <col min="1795" max="1795" width="11" style="232" customWidth="1"/>
    <col min="1796" max="1796" width="8.5703125" style="232" customWidth="1"/>
    <col min="1797" max="1797" width="14.42578125" style="232" customWidth="1"/>
    <col min="1798" max="1798" width="5.5703125" style="232" customWidth="1"/>
    <col min="1799" max="1799" width="9.140625" style="232"/>
    <col min="1800" max="1800" width="32.28515625" style="232" customWidth="1"/>
    <col min="1801" max="1801" width="12.140625" style="232" customWidth="1"/>
    <col min="1802" max="2046" width="9.140625" style="232"/>
    <col min="2047" max="2047" width="7.85546875" style="232" customWidth="1"/>
    <col min="2048" max="2048" width="8.85546875" style="232" customWidth="1"/>
    <col min="2049" max="2049" width="5.42578125" style="232" customWidth="1"/>
    <col min="2050" max="2050" width="9.140625" style="232"/>
    <col min="2051" max="2051" width="11" style="232" customWidth="1"/>
    <col min="2052" max="2052" width="8.5703125" style="232" customWidth="1"/>
    <col min="2053" max="2053" width="14.42578125" style="232" customWidth="1"/>
    <col min="2054" max="2054" width="5.5703125" style="232" customWidth="1"/>
    <col min="2055" max="2055" width="9.140625" style="232"/>
    <col min="2056" max="2056" width="32.28515625" style="232" customWidth="1"/>
    <col min="2057" max="2057" width="12.140625" style="232" customWidth="1"/>
    <col min="2058" max="2302" width="9.140625" style="232"/>
    <col min="2303" max="2303" width="7.85546875" style="232" customWidth="1"/>
    <col min="2304" max="2304" width="8.85546875" style="232" customWidth="1"/>
    <col min="2305" max="2305" width="5.42578125" style="232" customWidth="1"/>
    <col min="2306" max="2306" width="9.140625" style="232"/>
    <col min="2307" max="2307" width="11" style="232" customWidth="1"/>
    <col min="2308" max="2308" width="8.5703125" style="232" customWidth="1"/>
    <col min="2309" max="2309" width="14.42578125" style="232" customWidth="1"/>
    <col min="2310" max="2310" width="5.5703125" style="232" customWidth="1"/>
    <col min="2311" max="2311" width="9.140625" style="232"/>
    <col min="2312" max="2312" width="32.28515625" style="232" customWidth="1"/>
    <col min="2313" max="2313" width="12.140625" style="232" customWidth="1"/>
    <col min="2314" max="2558" width="9.140625" style="232"/>
    <col min="2559" max="2559" width="7.85546875" style="232" customWidth="1"/>
    <col min="2560" max="2560" width="8.85546875" style="232" customWidth="1"/>
    <col min="2561" max="2561" width="5.42578125" style="232" customWidth="1"/>
    <col min="2562" max="2562" width="9.140625" style="232"/>
    <col min="2563" max="2563" width="11" style="232" customWidth="1"/>
    <col min="2564" max="2564" width="8.5703125" style="232" customWidth="1"/>
    <col min="2565" max="2565" width="14.42578125" style="232" customWidth="1"/>
    <col min="2566" max="2566" width="5.5703125" style="232" customWidth="1"/>
    <col min="2567" max="2567" width="9.140625" style="232"/>
    <col min="2568" max="2568" width="32.28515625" style="232" customWidth="1"/>
    <col min="2569" max="2569" width="12.140625" style="232" customWidth="1"/>
    <col min="2570" max="2814" width="9.140625" style="232"/>
    <col min="2815" max="2815" width="7.85546875" style="232" customWidth="1"/>
    <col min="2816" max="2816" width="8.85546875" style="232" customWidth="1"/>
    <col min="2817" max="2817" width="5.42578125" style="232" customWidth="1"/>
    <col min="2818" max="2818" width="9.140625" style="232"/>
    <col min="2819" max="2819" width="11" style="232" customWidth="1"/>
    <col min="2820" max="2820" width="8.5703125" style="232" customWidth="1"/>
    <col min="2821" max="2821" width="14.42578125" style="232" customWidth="1"/>
    <col min="2822" max="2822" width="5.5703125" style="232" customWidth="1"/>
    <col min="2823" max="2823" width="9.140625" style="232"/>
    <col min="2824" max="2824" width="32.28515625" style="232" customWidth="1"/>
    <col min="2825" max="2825" width="12.140625" style="232" customWidth="1"/>
    <col min="2826" max="3070" width="9.140625" style="232"/>
    <col min="3071" max="3071" width="7.85546875" style="232" customWidth="1"/>
    <col min="3072" max="3072" width="8.85546875" style="232" customWidth="1"/>
    <col min="3073" max="3073" width="5.42578125" style="232" customWidth="1"/>
    <col min="3074" max="3074" width="9.140625" style="232"/>
    <col min="3075" max="3075" width="11" style="232" customWidth="1"/>
    <col min="3076" max="3076" width="8.5703125" style="232" customWidth="1"/>
    <col min="3077" max="3077" width="14.42578125" style="232" customWidth="1"/>
    <col min="3078" max="3078" width="5.5703125" style="232" customWidth="1"/>
    <col min="3079" max="3079" width="9.140625" style="232"/>
    <col min="3080" max="3080" width="32.28515625" style="232" customWidth="1"/>
    <col min="3081" max="3081" width="12.140625" style="232" customWidth="1"/>
    <col min="3082" max="3326" width="9.140625" style="232"/>
    <col min="3327" max="3327" width="7.85546875" style="232" customWidth="1"/>
    <col min="3328" max="3328" width="8.85546875" style="232" customWidth="1"/>
    <col min="3329" max="3329" width="5.42578125" style="232" customWidth="1"/>
    <col min="3330" max="3330" width="9.140625" style="232"/>
    <col min="3331" max="3331" width="11" style="232" customWidth="1"/>
    <col min="3332" max="3332" width="8.5703125" style="232" customWidth="1"/>
    <col min="3333" max="3333" width="14.42578125" style="232" customWidth="1"/>
    <col min="3334" max="3334" width="5.5703125" style="232" customWidth="1"/>
    <col min="3335" max="3335" width="9.140625" style="232"/>
    <col min="3336" max="3336" width="32.28515625" style="232" customWidth="1"/>
    <col min="3337" max="3337" width="12.140625" style="232" customWidth="1"/>
    <col min="3338" max="3582" width="9.140625" style="232"/>
    <col min="3583" max="3583" width="7.85546875" style="232" customWidth="1"/>
    <col min="3584" max="3584" width="8.85546875" style="232" customWidth="1"/>
    <col min="3585" max="3585" width="5.42578125" style="232" customWidth="1"/>
    <col min="3586" max="3586" width="9.140625" style="232"/>
    <col min="3587" max="3587" width="11" style="232" customWidth="1"/>
    <col min="3588" max="3588" width="8.5703125" style="232" customWidth="1"/>
    <col min="3589" max="3589" width="14.42578125" style="232" customWidth="1"/>
    <col min="3590" max="3590" width="5.5703125" style="232" customWidth="1"/>
    <col min="3591" max="3591" width="9.140625" style="232"/>
    <col min="3592" max="3592" width="32.28515625" style="232" customWidth="1"/>
    <col min="3593" max="3593" width="12.140625" style="232" customWidth="1"/>
    <col min="3594" max="3838" width="9.140625" style="232"/>
    <col min="3839" max="3839" width="7.85546875" style="232" customWidth="1"/>
    <col min="3840" max="3840" width="8.85546875" style="232" customWidth="1"/>
    <col min="3841" max="3841" width="5.42578125" style="232" customWidth="1"/>
    <col min="3842" max="3842" width="9.140625" style="232"/>
    <col min="3843" max="3843" width="11" style="232" customWidth="1"/>
    <col min="3844" max="3844" width="8.5703125" style="232" customWidth="1"/>
    <col min="3845" max="3845" width="14.42578125" style="232" customWidth="1"/>
    <col min="3846" max="3846" width="5.5703125" style="232" customWidth="1"/>
    <col min="3847" max="3847" width="9.140625" style="232"/>
    <col min="3848" max="3848" width="32.28515625" style="232" customWidth="1"/>
    <col min="3849" max="3849" width="12.140625" style="232" customWidth="1"/>
    <col min="3850" max="4094" width="9.140625" style="232"/>
    <col min="4095" max="4095" width="7.85546875" style="232" customWidth="1"/>
    <col min="4096" max="4096" width="8.85546875" style="232" customWidth="1"/>
    <col min="4097" max="4097" width="5.42578125" style="232" customWidth="1"/>
    <col min="4098" max="4098" width="9.140625" style="232"/>
    <col min="4099" max="4099" width="11" style="232" customWidth="1"/>
    <col min="4100" max="4100" width="8.5703125" style="232" customWidth="1"/>
    <col min="4101" max="4101" width="14.42578125" style="232" customWidth="1"/>
    <col min="4102" max="4102" width="5.5703125" style="232" customWidth="1"/>
    <col min="4103" max="4103" width="9.140625" style="232"/>
    <col min="4104" max="4104" width="32.28515625" style="232" customWidth="1"/>
    <col min="4105" max="4105" width="12.140625" style="232" customWidth="1"/>
    <col min="4106" max="4350" width="9.140625" style="232"/>
    <col min="4351" max="4351" width="7.85546875" style="232" customWidth="1"/>
    <col min="4352" max="4352" width="8.85546875" style="232" customWidth="1"/>
    <col min="4353" max="4353" width="5.42578125" style="232" customWidth="1"/>
    <col min="4354" max="4354" width="9.140625" style="232"/>
    <col min="4355" max="4355" width="11" style="232" customWidth="1"/>
    <col min="4356" max="4356" width="8.5703125" style="232" customWidth="1"/>
    <col min="4357" max="4357" width="14.42578125" style="232" customWidth="1"/>
    <col min="4358" max="4358" width="5.5703125" style="232" customWidth="1"/>
    <col min="4359" max="4359" width="9.140625" style="232"/>
    <col min="4360" max="4360" width="32.28515625" style="232" customWidth="1"/>
    <col min="4361" max="4361" width="12.140625" style="232" customWidth="1"/>
    <col min="4362" max="4606" width="9.140625" style="232"/>
    <col min="4607" max="4607" width="7.85546875" style="232" customWidth="1"/>
    <col min="4608" max="4608" width="8.85546875" style="232" customWidth="1"/>
    <col min="4609" max="4609" width="5.42578125" style="232" customWidth="1"/>
    <col min="4610" max="4610" width="9.140625" style="232"/>
    <col min="4611" max="4611" width="11" style="232" customWidth="1"/>
    <col min="4612" max="4612" width="8.5703125" style="232" customWidth="1"/>
    <col min="4613" max="4613" width="14.42578125" style="232" customWidth="1"/>
    <col min="4614" max="4614" width="5.5703125" style="232" customWidth="1"/>
    <col min="4615" max="4615" width="9.140625" style="232"/>
    <col min="4616" max="4616" width="32.28515625" style="232" customWidth="1"/>
    <col min="4617" max="4617" width="12.140625" style="232" customWidth="1"/>
    <col min="4618" max="4862" width="9.140625" style="232"/>
    <col min="4863" max="4863" width="7.85546875" style="232" customWidth="1"/>
    <col min="4864" max="4864" width="8.85546875" style="232" customWidth="1"/>
    <col min="4865" max="4865" width="5.42578125" style="232" customWidth="1"/>
    <col min="4866" max="4866" width="9.140625" style="232"/>
    <col min="4867" max="4867" width="11" style="232" customWidth="1"/>
    <col min="4868" max="4868" width="8.5703125" style="232" customWidth="1"/>
    <col min="4869" max="4869" width="14.42578125" style="232" customWidth="1"/>
    <col min="4870" max="4870" width="5.5703125" style="232" customWidth="1"/>
    <col min="4871" max="4871" width="9.140625" style="232"/>
    <col min="4872" max="4872" width="32.28515625" style="232" customWidth="1"/>
    <col min="4873" max="4873" width="12.140625" style="232" customWidth="1"/>
    <col min="4874" max="5118" width="9.140625" style="232"/>
    <col min="5119" max="5119" width="7.85546875" style="232" customWidth="1"/>
    <col min="5120" max="5120" width="8.85546875" style="232" customWidth="1"/>
    <col min="5121" max="5121" width="5.42578125" style="232" customWidth="1"/>
    <col min="5122" max="5122" width="9.140625" style="232"/>
    <col min="5123" max="5123" width="11" style="232" customWidth="1"/>
    <col min="5124" max="5124" width="8.5703125" style="232" customWidth="1"/>
    <col min="5125" max="5125" width="14.42578125" style="232" customWidth="1"/>
    <col min="5126" max="5126" width="5.5703125" style="232" customWidth="1"/>
    <col min="5127" max="5127" width="9.140625" style="232"/>
    <col min="5128" max="5128" width="32.28515625" style="232" customWidth="1"/>
    <col min="5129" max="5129" width="12.140625" style="232" customWidth="1"/>
    <col min="5130" max="5374" width="9.140625" style="232"/>
    <col min="5375" max="5375" width="7.85546875" style="232" customWidth="1"/>
    <col min="5376" max="5376" width="8.85546875" style="232" customWidth="1"/>
    <col min="5377" max="5377" width="5.42578125" style="232" customWidth="1"/>
    <col min="5378" max="5378" width="9.140625" style="232"/>
    <col min="5379" max="5379" width="11" style="232" customWidth="1"/>
    <col min="5380" max="5380" width="8.5703125" style="232" customWidth="1"/>
    <col min="5381" max="5381" width="14.42578125" style="232" customWidth="1"/>
    <col min="5382" max="5382" width="5.5703125" style="232" customWidth="1"/>
    <col min="5383" max="5383" width="9.140625" style="232"/>
    <col min="5384" max="5384" width="32.28515625" style="232" customWidth="1"/>
    <col min="5385" max="5385" width="12.140625" style="232" customWidth="1"/>
    <col min="5386" max="5630" width="9.140625" style="232"/>
    <col min="5631" max="5631" width="7.85546875" style="232" customWidth="1"/>
    <col min="5632" max="5632" width="8.85546875" style="232" customWidth="1"/>
    <col min="5633" max="5633" width="5.42578125" style="232" customWidth="1"/>
    <col min="5634" max="5634" width="9.140625" style="232"/>
    <col min="5635" max="5635" width="11" style="232" customWidth="1"/>
    <col min="5636" max="5636" width="8.5703125" style="232" customWidth="1"/>
    <col min="5637" max="5637" width="14.42578125" style="232" customWidth="1"/>
    <col min="5638" max="5638" width="5.5703125" style="232" customWidth="1"/>
    <col min="5639" max="5639" width="9.140625" style="232"/>
    <col min="5640" max="5640" width="32.28515625" style="232" customWidth="1"/>
    <col min="5641" max="5641" width="12.140625" style="232" customWidth="1"/>
    <col min="5642" max="5886" width="9.140625" style="232"/>
    <col min="5887" max="5887" width="7.85546875" style="232" customWidth="1"/>
    <col min="5888" max="5888" width="8.85546875" style="232" customWidth="1"/>
    <col min="5889" max="5889" width="5.42578125" style="232" customWidth="1"/>
    <col min="5890" max="5890" width="9.140625" style="232"/>
    <col min="5891" max="5891" width="11" style="232" customWidth="1"/>
    <col min="5892" max="5892" width="8.5703125" style="232" customWidth="1"/>
    <col min="5893" max="5893" width="14.42578125" style="232" customWidth="1"/>
    <col min="5894" max="5894" width="5.5703125" style="232" customWidth="1"/>
    <col min="5895" max="5895" width="9.140625" style="232"/>
    <col min="5896" max="5896" width="32.28515625" style="232" customWidth="1"/>
    <col min="5897" max="5897" width="12.140625" style="232" customWidth="1"/>
    <col min="5898" max="6142" width="9.140625" style="232"/>
    <col min="6143" max="6143" width="7.85546875" style="232" customWidth="1"/>
    <col min="6144" max="6144" width="8.85546875" style="232" customWidth="1"/>
    <col min="6145" max="6145" width="5.42578125" style="232" customWidth="1"/>
    <col min="6146" max="6146" width="9.140625" style="232"/>
    <col min="6147" max="6147" width="11" style="232" customWidth="1"/>
    <col min="6148" max="6148" width="8.5703125" style="232" customWidth="1"/>
    <col min="6149" max="6149" width="14.42578125" style="232" customWidth="1"/>
    <col min="6150" max="6150" width="5.5703125" style="232" customWidth="1"/>
    <col min="6151" max="6151" width="9.140625" style="232"/>
    <col min="6152" max="6152" width="32.28515625" style="232" customWidth="1"/>
    <col min="6153" max="6153" width="12.140625" style="232" customWidth="1"/>
    <col min="6154" max="6398" width="9.140625" style="232"/>
    <col min="6399" max="6399" width="7.85546875" style="232" customWidth="1"/>
    <col min="6400" max="6400" width="8.85546875" style="232" customWidth="1"/>
    <col min="6401" max="6401" width="5.42578125" style="232" customWidth="1"/>
    <col min="6402" max="6402" width="9.140625" style="232"/>
    <col min="6403" max="6403" width="11" style="232" customWidth="1"/>
    <col min="6404" max="6404" width="8.5703125" style="232" customWidth="1"/>
    <col min="6405" max="6405" width="14.42578125" style="232" customWidth="1"/>
    <col min="6406" max="6406" width="5.5703125" style="232" customWidth="1"/>
    <col min="6407" max="6407" width="9.140625" style="232"/>
    <col min="6408" max="6408" width="32.28515625" style="232" customWidth="1"/>
    <col min="6409" max="6409" width="12.140625" style="232" customWidth="1"/>
    <col min="6410" max="6654" width="9.140625" style="232"/>
    <col min="6655" max="6655" width="7.85546875" style="232" customWidth="1"/>
    <col min="6656" max="6656" width="8.85546875" style="232" customWidth="1"/>
    <col min="6657" max="6657" width="5.42578125" style="232" customWidth="1"/>
    <col min="6658" max="6658" width="9.140625" style="232"/>
    <col min="6659" max="6659" width="11" style="232" customWidth="1"/>
    <col min="6660" max="6660" width="8.5703125" style="232" customWidth="1"/>
    <col min="6661" max="6661" width="14.42578125" style="232" customWidth="1"/>
    <col min="6662" max="6662" width="5.5703125" style="232" customWidth="1"/>
    <col min="6663" max="6663" width="9.140625" style="232"/>
    <col min="6664" max="6664" width="32.28515625" style="232" customWidth="1"/>
    <col min="6665" max="6665" width="12.140625" style="232" customWidth="1"/>
    <col min="6666" max="6910" width="9.140625" style="232"/>
    <col min="6911" max="6911" width="7.85546875" style="232" customWidth="1"/>
    <col min="6912" max="6912" width="8.85546875" style="232" customWidth="1"/>
    <col min="6913" max="6913" width="5.42578125" style="232" customWidth="1"/>
    <col min="6914" max="6914" width="9.140625" style="232"/>
    <col min="6915" max="6915" width="11" style="232" customWidth="1"/>
    <col min="6916" max="6916" width="8.5703125" style="232" customWidth="1"/>
    <col min="6917" max="6917" width="14.42578125" style="232" customWidth="1"/>
    <col min="6918" max="6918" width="5.5703125" style="232" customWidth="1"/>
    <col min="6919" max="6919" width="9.140625" style="232"/>
    <col min="6920" max="6920" width="32.28515625" style="232" customWidth="1"/>
    <col min="6921" max="6921" width="12.140625" style="232" customWidth="1"/>
    <col min="6922" max="7166" width="9.140625" style="232"/>
    <col min="7167" max="7167" width="7.85546875" style="232" customWidth="1"/>
    <col min="7168" max="7168" width="8.85546875" style="232" customWidth="1"/>
    <col min="7169" max="7169" width="5.42578125" style="232" customWidth="1"/>
    <col min="7170" max="7170" width="9.140625" style="232"/>
    <col min="7171" max="7171" width="11" style="232" customWidth="1"/>
    <col min="7172" max="7172" width="8.5703125" style="232" customWidth="1"/>
    <col min="7173" max="7173" width="14.42578125" style="232" customWidth="1"/>
    <col min="7174" max="7174" width="5.5703125" style="232" customWidth="1"/>
    <col min="7175" max="7175" width="9.140625" style="232"/>
    <col min="7176" max="7176" width="32.28515625" style="232" customWidth="1"/>
    <col min="7177" max="7177" width="12.140625" style="232" customWidth="1"/>
    <col min="7178" max="7422" width="9.140625" style="232"/>
    <col min="7423" max="7423" width="7.85546875" style="232" customWidth="1"/>
    <col min="7424" max="7424" width="8.85546875" style="232" customWidth="1"/>
    <col min="7425" max="7425" width="5.42578125" style="232" customWidth="1"/>
    <col min="7426" max="7426" width="9.140625" style="232"/>
    <col min="7427" max="7427" width="11" style="232" customWidth="1"/>
    <col min="7428" max="7428" width="8.5703125" style="232" customWidth="1"/>
    <col min="7429" max="7429" width="14.42578125" style="232" customWidth="1"/>
    <col min="7430" max="7430" width="5.5703125" style="232" customWidth="1"/>
    <col min="7431" max="7431" width="9.140625" style="232"/>
    <col min="7432" max="7432" width="32.28515625" style="232" customWidth="1"/>
    <col min="7433" max="7433" width="12.140625" style="232" customWidth="1"/>
    <col min="7434" max="7678" width="9.140625" style="232"/>
    <col min="7679" max="7679" width="7.85546875" style="232" customWidth="1"/>
    <col min="7680" max="7680" width="8.85546875" style="232" customWidth="1"/>
    <col min="7681" max="7681" width="5.42578125" style="232" customWidth="1"/>
    <col min="7682" max="7682" width="9.140625" style="232"/>
    <col min="7683" max="7683" width="11" style="232" customWidth="1"/>
    <col min="7684" max="7684" width="8.5703125" style="232" customWidth="1"/>
    <col min="7685" max="7685" width="14.42578125" style="232" customWidth="1"/>
    <col min="7686" max="7686" width="5.5703125" style="232" customWidth="1"/>
    <col min="7687" max="7687" width="9.140625" style="232"/>
    <col min="7688" max="7688" width="32.28515625" style="232" customWidth="1"/>
    <col min="7689" max="7689" width="12.140625" style="232" customWidth="1"/>
    <col min="7690" max="7934" width="9.140625" style="232"/>
    <col min="7935" max="7935" width="7.85546875" style="232" customWidth="1"/>
    <col min="7936" max="7936" width="8.85546875" style="232" customWidth="1"/>
    <col min="7937" max="7937" width="5.42578125" style="232" customWidth="1"/>
    <col min="7938" max="7938" width="9.140625" style="232"/>
    <col min="7939" max="7939" width="11" style="232" customWidth="1"/>
    <col min="7940" max="7940" width="8.5703125" style="232" customWidth="1"/>
    <col min="7941" max="7941" width="14.42578125" style="232" customWidth="1"/>
    <col min="7942" max="7942" width="5.5703125" style="232" customWidth="1"/>
    <col min="7943" max="7943" width="9.140625" style="232"/>
    <col min="7944" max="7944" width="32.28515625" style="232" customWidth="1"/>
    <col min="7945" max="7945" width="12.140625" style="232" customWidth="1"/>
    <col min="7946" max="8190" width="9.140625" style="232"/>
    <col min="8191" max="8191" width="7.85546875" style="232" customWidth="1"/>
    <col min="8192" max="8192" width="8.85546875" style="232" customWidth="1"/>
    <col min="8193" max="8193" width="5.42578125" style="232" customWidth="1"/>
    <col min="8194" max="8194" width="9.140625" style="232"/>
    <col min="8195" max="8195" width="11" style="232" customWidth="1"/>
    <col min="8196" max="8196" width="8.5703125" style="232" customWidth="1"/>
    <col min="8197" max="8197" width="14.42578125" style="232" customWidth="1"/>
    <col min="8198" max="8198" width="5.5703125" style="232" customWidth="1"/>
    <col min="8199" max="8199" width="9.140625" style="232"/>
    <col min="8200" max="8200" width="32.28515625" style="232" customWidth="1"/>
    <col min="8201" max="8201" width="12.140625" style="232" customWidth="1"/>
    <col min="8202" max="8446" width="9.140625" style="232"/>
    <col min="8447" max="8447" width="7.85546875" style="232" customWidth="1"/>
    <col min="8448" max="8448" width="8.85546875" style="232" customWidth="1"/>
    <col min="8449" max="8449" width="5.42578125" style="232" customWidth="1"/>
    <col min="8450" max="8450" width="9.140625" style="232"/>
    <col min="8451" max="8451" width="11" style="232" customWidth="1"/>
    <col min="8452" max="8452" width="8.5703125" style="232" customWidth="1"/>
    <col min="8453" max="8453" width="14.42578125" style="232" customWidth="1"/>
    <col min="8454" max="8454" width="5.5703125" style="232" customWidth="1"/>
    <col min="8455" max="8455" width="9.140625" style="232"/>
    <col min="8456" max="8456" width="32.28515625" style="232" customWidth="1"/>
    <col min="8457" max="8457" width="12.140625" style="232" customWidth="1"/>
    <col min="8458" max="8702" width="9.140625" style="232"/>
    <col min="8703" max="8703" width="7.85546875" style="232" customWidth="1"/>
    <col min="8704" max="8704" width="8.85546875" style="232" customWidth="1"/>
    <col min="8705" max="8705" width="5.42578125" style="232" customWidth="1"/>
    <col min="8706" max="8706" width="9.140625" style="232"/>
    <col min="8707" max="8707" width="11" style="232" customWidth="1"/>
    <col min="8708" max="8708" width="8.5703125" style="232" customWidth="1"/>
    <col min="8709" max="8709" width="14.42578125" style="232" customWidth="1"/>
    <col min="8710" max="8710" width="5.5703125" style="232" customWidth="1"/>
    <col min="8711" max="8711" width="9.140625" style="232"/>
    <col min="8712" max="8712" width="32.28515625" style="232" customWidth="1"/>
    <col min="8713" max="8713" width="12.140625" style="232" customWidth="1"/>
    <col min="8714" max="8958" width="9.140625" style="232"/>
    <col min="8959" max="8959" width="7.85546875" style="232" customWidth="1"/>
    <col min="8960" max="8960" width="8.85546875" style="232" customWidth="1"/>
    <col min="8961" max="8961" width="5.42578125" style="232" customWidth="1"/>
    <col min="8962" max="8962" width="9.140625" style="232"/>
    <col min="8963" max="8963" width="11" style="232" customWidth="1"/>
    <col min="8964" max="8964" width="8.5703125" style="232" customWidth="1"/>
    <col min="8965" max="8965" width="14.42578125" style="232" customWidth="1"/>
    <col min="8966" max="8966" width="5.5703125" style="232" customWidth="1"/>
    <col min="8967" max="8967" width="9.140625" style="232"/>
    <col min="8968" max="8968" width="32.28515625" style="232" customWidth="1"/>
    <col min="8969" max="8969" width="12.140625" style="232" customWidth="1"/>
    <col min="8970" max="9214" width="9.140625" style="232"/>
    <col min="9215" max="9215" width="7.85546875" style="232" customWidth="1"/>
    <col min="9216" max="9216" width="8.85546875" style="232" customWidth="1"/>
    <col min="9217" max="9217" width="5.42578125" style="232" customWidth="1"/>
    <col min="9218" max="9218" width="9.140625" style="232"/>
    <col min="9219" max="9219" width="11" style="232" customWidth="1"/>
    <col min="9220" max="9220" width="8.5703125" style="232" customWidth="1"/>
    <col min="9221" max="9221" width="14.42578125" style="232" customWidth="1"/>
    <col min="9222" max="9222" width="5.5703125" style="232" customWidth="1"/>
    <col min="9223" max="9223" width="9.140625" style="232"/>
    <col min="9224" max="9224" width="32.28515625" style="232" customWidth="1"/>
    <col min="9225" max="9225" width="12.140625" style="232" customWidth="1"/>
    <col min="9226" max="9470" width="9.140625" style="232"/>
    <col min="9471" max="9471" width="7.85546875" style="232" customWidth="1"/>
    <col min="9472" max="9472" width="8.85546875" style="232" customWidth="1"/>
    <col min="9473" max="9473" width="5.42578125" style="232" customWidth="1"/>
    <col min="9474" max="9474" width="9.140625" style="232"/>
    <col min="9475" max="9475" width="11" style="232" customWidth="1"/>
    <col min="9476" max="9476" width="8.5703125" style="232" customWidth="1"/>
    <col min="9477" max="9477" width="14.42578125" style="232" customWidth="1"/>
    <col min="9478" max="9478" width="5.5703125" style="232" customWidth="1"/>
    <col min="9479" max="9479" width="9.140625" style="232"/>
    <col min="9480" max="9480" width="32.28515625" style="232" customWidth="1"/>
    <col min="9481" max="9481" width="12.140625" style="232" customWidth="1"/>
    <col min="9482" max="9726" width="9.140625" style="232"/>
    <col min="9727" max="9727" width="7.85546875" style="232" customWidth="1"/>
    <col min="9728" max="9728" width="8.85546875" style="232" customWidth="1"/>
    <col min="9729" max="9729" width="5.42578125" style="232" customWidth="1"/>
    <col min="9730" max="9730" width="9.140625" style="232"/>
    <col min="9731" max="9731" width="11" style="232" customWidth="1"/>
    <col min="9732" max="9732" width="8.5703125" style="232" customWidth="1"/>
    <col min="9733" max="9733" width="14.42578125" style="232" customWidth="1"/>
    <col min="9734" max="9734" width="5.5703125" style="232" customWidth="1"/>
    <col min="9735" max="9735" width="9.140625" style="232"/>
    <col min="9736" max="9736" width="32.28515625" style="232" customWidth="1"/>
    <col min="9737" max="9737" width="12.140625" style="232" customWidth="1"/>
    <col min="9738" max="9982" width="9.140625" style="232"/>
    <col min="9983" max="9983" width="7.85546875" style="232" customWidth="1"/>
    <col min="9984" max="9984" width="8.85546875" style="232" customWidth="1"/>
    <col min="9985" max="9985" width="5.42578125" style="232" customWidth="1"/>
    <col min="9986" max="9986" width="9.140625" style="232"/>
    <col min="9987" max="9987" width="11" style="232" customWidth="1"/>
    <col min="9988" max="9988" width="8.5703125" style="232" customWidth="1"/>
    <col min="9989" max="9989" width="14.42578125" style="232" customWidth="1"/>
    <col min="9990" max="9990" width="5.5703125" style="232" customWidth="1"/>
    <col min="9991" max="9991" width="9.140625" style="232"/>
    <col min="9992" max="9992" width="32.28515625" style="232" customWidth="1"/>
    <col min="9993" max="9993" width="12.140625" style="232" customWidth="1"/>
    <col min="9994" max="10238" width="9.140625" style="232"/>
    <col min="10239" max="10239" width="7.85546875" style="232" customWidth="1"/>
    <col min="10240" max="10240" width="8.85546875" style="232" customWidth="1"/>
    <col min="10241" max="10241" width="5.42578125" style="232" customWidth="1"/>
    <col min="10242" max="10242" width="9.140625" style="232"/>
    <col min="10243" max="10243" width="11" style="232" customWidth="1"/>
    <col min="10244" max="10244" width="8.5703125" style="232" customWidth="1"/>
    <col min="10245" max="10245" width="14.42578125" style="232" customWidth="1"/>
    <col min="10246" max="10246" width="5.5703125" style="232" customWidth="1"/>
    <col min="10247" max="10247" width="9.140625" style="232"/>
    <col min="10248" max="10248" width="32.28515625" style="232" customWidth="1"/>
    <col min="10249" max="10249" width="12.140625" style="232" customWidth="1"/>
    <col min="10250" max="10494" width="9.140625" style="232"/>
    <col min="10495" max="10495" width="7.85546875" style="232" customWidth="1"/>
    <col min="10496" max="10496" width="8.85546875" style="232" customWidth="1"/>
    <col min="10497" max="10497" width="5.42578125" style="232" customWidth="1"/>
    <col min="10498" max="10498" width="9.140625" style="232"/>
    <col min="10499" max="10499" width="11" style="232" customWidth="1"/>
    <col min="10500" max="10500" width="8.5703125" style="232" customWidth="1"/>
    <col min="10501" max="10501" width="14.42578125" style="232" customWidth="1"/>
    <col min="10502" max="10502" width="5.5703125" style="232" customWidth="1"/>
    <col min="10503" max="10503" width="9.140625" style="232"/>
    <col min="10504" max="10504" width="32.28515625" style="232" customWidth="1"/>
    <col min="10505" max="10505" width="12.140625" style="232" customWidth="1"/>
    <col min="10506" max="10750" width="9.140625" style="232"/>
    <col min="10751" max="10751" width="7.85546875" style="232" customWidth="1"/>
    <col min="10752" max="10752" width="8.85546875" style="232" customWidth="1"/>
    <col min="10753" max="10753" width="5.42578125" style="232" customWidth="1"/>
    <col min="10754" max="10754" width="9.140625" style="232"/>
    <col min="10755" max="10755" width="11" style="232" customWidth="1"/>
    <col min="10756" max="10756" width="8.5703125" style="232" customWidth="1"/>
    <col min="10757" max="10757" width="14.42578125" style="232" customWidth="1"/>
    <col min="10758" max="10758" width="5.5703125" style="232" customWidth="1"/>
    <col min="10759" max="10759" width="9.140625" style="232"/>
    <col min="10760" max="10760" width="32.28515625" style="232" customWidth="1"/>
    <col min="10761" max="10761" width="12.140625" style="232" customWidth="1"/>
    <col min="10762" max="11006" width="9.140625" style="232"/>
    <col min="11007" max="11007" width="7.85546875" style="232" customWidth="1"/>
    <col min="11008" max="11008" width="8.85546875" style="232" customWidth="1"/>
    <col min="11009" max="11009" width="5.42578125" style="232" customWidth="1"/>
    <col min="11010" max="11010" width="9.140625" style="232"/>
    <col min="11011" max="11011" width="11" style="232" customWidth="1"/>
    <col min="11012" max="11012" width="8.5703125" style="232" customWidth="1"/>
    <col min="11013" max="11013" width="14.42578125" style="232" customWidth="1"/>
    <col min="11014" max="11014" width="5.5703125" style="232" customWidth="1"/>
    <col min="11015" max="11015" width="9.140625" style="232"/>
    <col min="11016" max="11016" width="32.28515625" style="232" customWidth="1"/>
    <col min="11017" max="11017" width="12.140625" style="232" customWidth="1"/>
    <col min="11018" max="11262" width="9.140625" style="232"/>
    <col min="11263" max="11263" width="7.85546875" style="232" customWidth="1"/>
    <col min="11264" max="11264" width="8.85546875" style="232" customWidth="1"/>
    <col min="11265" max="11265" width="5.42578125" style="232" customWidth="1"/>
    <col min="11266" max="11266" width="9.140625" style="232"/>
    <col min="11267" max="11267" width="11" style="232" customWidth="1"/>
    <col min="11268" max="11268" width="8.5703125" style="232" customWidth="1"/>
    <col min="11269" max="11269" width="14.42578125" style="232" customWidth="1"/>
    <col min="11270" max="11270" width="5.5703125" style="232" customWidth="1"/>
    <col min="11271" max="11271" width="9.140625" style="232"/>
    <col min="11272" max="11272" width="32.28515625" style="232" customWidth="1"/>
    <col min="11273" max="11273" width="12.140625" style="232" customWidth="1"/>
    <col min="11274" max="11518" width="9.140625" style="232"/>
    <col min="11519" max="11519" width="7.85546875" style="232" customWidth="1"/>
    <col min="11520" max="11520" width="8.85546875" style="232" customWidth="1"/>
    <col min="11521" max="11521" width="5.42578125" style="232" customWidth="1"/>
    <col min="11522" max="11522" width="9.140625" style="232"/>
    <col min="11523" max="11523" width="11" style="232" customWidth="1"/>
    <col min="11524" max="11524" width="8.5703125" style="232" customWidth="1"/>
    <col min="11525" max="11525" width="14.42578125" style="232" customWidth="1"/>
    <col min="11526" max="11526" width="5.5703125" style="232" customWidth="1"/>
    <col min="11527" max="11527" width="9.140625" style="232"/>
    <col min="11528" max="11528" width="32.28515625" style="232" customWidth="1"/>
    <col min="11529" max="11529" width="12.140625" style="232" customWidth="1"/>
    <col min="11530" max="11774" width="9.140625" style="232"/>
    <col min="11775" max="11775" width="7.85546875" style="232" customWidth="1"/>
    <col min="11776" max="11776" width="8.85546875" style="232" customWidth="1"/>
    <col min="11777" max="11777" width="5.42578125" style="232" customWidth="1"/>
    <col min="11778" max="11778" width="9.140625" style="232"/>
    <col min="11779" max="11779" width="11" style="232" customWidth="1"/>
    <col min="11780" max="11780" width="8.5703125" style="232" customWidth="1"/>
    <col min="11781" max="11781" width="14.42578125" style="232" customWidth="1"/>
    <col min="11782" max="11782" width="5.5703125" style="232" customWidth="1"/>
    <col min="11783" max="11783" width="9.140625" style="232"/>
    <col min="11784" max="11784" width="32.28515625" style="232" customWidth="1"/>
    <col min="11785" max="11785" width="12.140625" style="232" customWidth="1"/>
    <col min="11786" max="12030" width="9.140625" style="232"/>
    <col min="12031" max="12031" width="7.85546875" style="232" customWidth="1"/>
    <col min="12032" max="12032" width="8.85546875" style="232" customWidth="1"/>
    <col min="12033" max="12033" width="5.42578125" style="232" customWidth="1"/>
    <col min="12034" max="12034" width="9.140625" style="232"/>
    <col min="12035" max="12035" width="11" style="232" customWidth="1"/>
    <col min="12036" max="12036" width="8.5703125" style="232" customWidth="1"/>
    <col min="12037" max="12037" width="14.42578125" style="232" customWidth="1"/>
    <col min="12038" max="12038" width="5.5703125" style="232" customWidth="1"/>
    <col min="12039" max="12039" width="9.140625" style="232"/>
    <col min="12040" max="12040" width="32.28515625" style="232" customWidth="1"/>
    <col min="12041" max="12041" width="12.140625" style="232" customWidth="1"/>
    <col min="12042" max="12286" width="9.140625" style="232"/>
    <col min="12287" max="12287" width="7.85546875" style="232" customWidth="1"/>
    <col min="12288" max="12288" width="8.85546875" style="232" customWidth="1"/>
    <col min="12289" max="12289" width="5.42578125" style="232" customWidth="1"/>
    <col min="12290" max="12290" width="9.140625" style="232"/>
    <col min="12291" max="12291" width="11" style="232" customWidth="1"/>
    <col min="12292" max="12292" width="8.5703125" style="232" customWidth="1"/>
    <col min="12293" max="12293" width="14.42578125" style="232" customWidth="1"/>
    <col min="12294" max="12294" width="5.5703125" style="232" customWidth="1"/>
    <col min="12295" max="12295" width="9.140625" style="232"/>
    <col min="12296" max="12296" width="32.28515625" style="232" customWidth="1"/>
    <col min="12297" max="12297" width="12.140625" style="232" customWidth="1"/>
    <col min="12298" max="12542" width="9.140625" style="232"/>
    <col min="12543" max="12543" width="7.85546875" style="232" customWidth="1"/>
    <col min="12544" max="12544" width="8.85546875" style="232" customWidth="1"/>
    <col min="12545" max="12545" width="5.42578125" style="232" customWidth="1"/>
    <col min="12546" max="12546" width="9.140625" style="232"/>
    <col min="12547" max="12547" width="11" style="232" customWidth="1"/>
    <col min="12548" max="12548" width="8.5703125" style="232" customWidth="1"/>
    <col min="12549" max="12549" width="14.42578125" style="232" customWidth="1"/>
    <col min="12550" max="12550" width="5.5703125" style="232" customWidth="1"/>
    <col min="12551" max="12551" width="9.140625" style="232"/>
    <col min="12552" max="12552" width="32.28515625" style="232" customWidth="1"/>
    <col min="12553" max="12553" width="12.140625" style="232" customWidth="1"/>
    <col min="12554" max="12798" width="9.140625" style="232"/>
    <col min="12799" max="12799" width="7.85546875" style="232" customWidth="1"/>
    <col min="12800" max="12800" width="8.85546875" style="232" customWidth="1"/>
    <col min="12801" max="12801" width="5.42578125" style="232" customWidth="1"/>
    <col min="12802" max="12802" width="9.140625" style="232"/>
    <col min="12803" max="12803" width="11" style="232" customWidth="1"/>
    <col min="12804" max="12804" width="8.5703125" style="232" customWidth="1"/>
    <col min="12805" max="12805" width="14.42578125" style="232" customWidth="1"/>
    <col min="12806" max="12806" width="5.5703125" style="232" customWidth="1"/>
    <col min="12807" max="12807" width="9.140625" style="232"/>
    <col min="12808" max="12808" width="32.28515625" style="232" customWidth="1"/>
    <col min="12809" max="12809" width="12.140625" style="232" customWidth="1"/>
    <col min="12810" max="13054" width="9.140625" style="232"/>
    <col min="13055" max="13055" width="7.85546875" style="232" customWidth="1"/>
    <col min="13056" max="13056" width="8.85546875" style="232" customWidth="1"/>
    <col min="13057" max="13057" width="5.42578125" style="232" customWidth="1"/>
    <col min="13058" max="13058" width="9.140625" style="232"/>
    <col min="13059" max="13059" width="11" style="232" customWidth="1"/>
    <col min="13060" max="13060" width="8.5703125" style="232" customWidth="1"/>
    <col min="13061" max="13061" width="14.42578125" style="232" customWidth="1"/>
    <col min="13062" max="13062" width="5.5703125" style="232" customWidth="1"/>
    <col min="13063" max="13063" width="9.140625" style="232"/>
    <col min="13064" max="13064" width="32.28515625" style="232" customWidth="1"/>
    <col min="13065" max="13065" width="12.140625" style="232" customWidth="1"/>
    <col min="13066" max="13310" width="9.140625" style="232"/>
    <col min="13311" max="13311" width="7.85546875" style="232" customWidth="1"/>
    <col min="13312" max="13312" width="8.85546875" style="232" customWidth="1"/>
    <col min="13313" max="13313" width="5.42578125" style="232" customWidth="1"/>
    <col min="13314" max="13314" width="9.140625" style="232"/>
    <col min="13315" max="13315" width="11" style="232" customWidth="1"/>
    <col min="13316" max="13316" width="8.5703125" style="232" customWidth="1"/>
    <col min="13317" max="13317" width="14.42578125" style="232" customWidth="1"/>
    <col min="13318" max="13318" width="5.5703125" style="232" customWidth="1"/>
    <col min="13319" max="13319" width="9.140625" style="232"/>
    <col min="13320" max="13320" width="32.28515625" style="232" customWidth="1"/>
    <col min="13321" max="13321" width="12.140625" style="232" customWidth="1"/>
    <col min="13322" max="13566" width="9.140625" style="232"/>
    <col min="13567" max="13567" width="7.85546875" style="232" customWidth="1"/>
    <col min="13568" max="13568" width="8.85546875" style="232" customWidth="1"/>
    <col min="13569" max="13569" width="5.42578125" style="232" customWidth="1"/>
    <col min="13570" max="13570" width="9.140625" style="232"/>
    <col min="13571" max="13571" width="11" style="232" customWidth="1"/>
    <col min="13572" max="13572" width="8.5703125" style="232" customWidth="1"/>
    <col min="13573" max="13573" width="14.42578125" style="232" customWidth="1"/>
    <col min="13574" max="13574" width="5.5703125" style="232" customWidth="1"/>
    <col min="13575" max="13575" width="9.140625" style="232"/>
    <col min="13576" max="13576" width="32.28515625" style="232" customWidth="1"/>
    <col min="13577" max="13577" width="12.140625" style="232" customWidth="1"/>
    <col min="13578" max="13822" width="9.140625" style="232"/>
    <col min="13823" max="13823" width="7.85546875" style="232" customWidth="1"/>
    <col min="13824" max="13824" width="8.85546875" style="232" customWidth="1"/>
    <col min="13825" max="13825" width="5.42578125" style="232" customWidth="1"/>
    <col min="13826" max="13826" width="9.140625" style="232"/>
    <col min="13827" max="13827" width="11" style="232" customWidth="1"/>
    <col min="13828" max="13828" width="8.5703125" style="232" customWidth="1"/>
    <col min="13829" max="13829" width="14.42578125" style="232" customWidth="1"/>
    <col min="13830" max="13830" width="5.5703125" style="232" customWidth="1"/>
    <col min="13831" max="13831" width="9.140625" style="232"/>
    <col min="13832" max="13832" width="32.28515625" style="232" customWidth="1"/>
    <col min="13833" max="13833" width="12.140625" style="232" customWidth="1"/>
    <col min="13834" max="14078" width="9.140625" style="232"/>
    <col min="14079" max="14079" width="7.85546875" style="232" customWidth="1"/>
    <col min="14080" max="14080" width="8.85546875" style="232" customWidth="1"/>
    <col min="14081" max="14081" width="5.42578125" style="232" customWidth="1"/>
    <col min="14082" max="14082" width="9.140625" style="232"/>
    <col min="14083" max="14083" width="11" style="232" customWidth="1"/>
    <col min="14084" max="14084" width="8.5703125" style="232" customWidth="1"/>
    <col min="14085" max="14085" width="14.42578125" style="232" customWidth="1"/>
    <col min="14086" max="14086" width="5.5703125" style="232" customWidth="1"/>
    <col min="14087" max="14087" width="9.140625" style="232"/>
    <col min="14088" max="14088" width="32.28515625" style="232" customWidth="1"/>
    <col min="14089" max="14089" width="12.140625" style="232" customWidth="1"/>
    <col min="14090" max="14334" width="9.140625" style="232"/>
    <col min="14335" max="14335" width="7.85546875" style="232" customWidth="1"/>
    <col min="14336" max="14336" width="8.85546875" style="232" customWidth="1"/>
    <col min="14337" max="14337" width="5.42578125" style="232" customWidth="1"/>
    <col min="14338" max="14338" width="9.140625" style="232"/>
    <col min="14339" max="14339" width="11" style="232" customWidth="1"/>
    <col min="14340" max="14340" width="8.5703125" style="232" customWidth="1"/>
    <col min="14341" max="14341" width="14.42578125" style="232" customWidth="1"/>
    <col min="14342" max="14342" width="5.5703125" style="232" customWidth="1"/>
    <col min="14343" max="14343" width="9.140625" style="232"/>
    <col min="14344" max="14344" width="32.28515625" style="232" customWidth="1"/>
    <col min="14345" max="14345" width="12.140625" style="232" customWidth="1"/>
    <col min="14346" max="14590" width="9.140625" style="232"/>
    <col min="14591" max="14591" width="7.85546875" style="232" customWidth="1"/>
    <col min="14592" max="14592" width="8.85546875" style="232" customWidth="1"/>
    <col min="14593" max="14593" width="5.42578125" style="232" customWidth="1"/>
    <col min="14594" max="14594" width="9.140625" style="232"/>
    <col min="14595" max="14595" width="11" style="232" customWidth="1"/>
    <col min="14596" max="14596" width="8.5703125" style="232" customWidth="1"/>
    <col min="14597" max="14597" width="14.42578125" style="232" customWidth="1"/>
    <col min="14598" max="14598" width="5.5703125" style="232" customWidth="1"/>
    <col min="14599" max="14599" width="9.140625" style="232"/>
    <col min="14600" max="14600" width="32.28515625" style="232" customWidth="1"/>
    <col min="14601" max="14601" width="12.140625" style="232" customWidth="1"/>
    <col min="14602" max="14846" width="9.140625" style="232"/>
    <col min="14847" max="14847" width="7.85546875" style="232" customWidth="1"/>
    <col min="14848" max="14848" width="8.85546875" style="232" customWidth="1"/>
    <col min="14849" max="14849" width="5.42578125" style="232" customWidth="1"/>
    <col min="14850" max="14850" width="9.140625" style="232"/>
    <col min="14851" max="14851" width="11" style="232" customWidth="1"/>
    <col min="14852" max="14852" width="8.5703125" style="232" customWidth="1"/>
    <col min="14853" max="14853" width="14.42578125" style="232" customWidth="1"/>
    <col min="14854" max="14854" width="5.5703125" style="232" customWidth="1"/>
    <col min="14855" max="14855" width="9.140625" style="232"/>
    <col min="14856" max="14856" width="32.28515625" style="232" customWidth="1"/>
    <col min="14857" max="14857" width="12.140625" style="232" customWidth="1"/>
    <col min="14858" max="15102" width="9.140625" style="232"/>
    <col min="15103" max="15103" width="7.85546875" style="232" customWidth="1"/>
    <col min="15104" max="15104" width="8.85546875" style="232" customWidth="1"/>
    <col min="15105" max="15105" width="5.42578125" style="232" customWidth="1"/>
    <col min="15106" max="15106" width="9.140625" style="232"/>
    <col min="15107" max="15107" width="11" style="232" customWidth="1"/>
    <col min="15108" max="15108" width="8.5703125" style="232" customWidth="1"/>
    <col min="15109" max="15109" width="14.42578125" style="232" customWidth="1"/>
    <col min="15110" max="15110" width="5.5703125" style="232" customWidth="1"/>
    <col min="15111" max="15111" width="9.140625" style="232"/>
    <col min="15112" max="15112" width="32.28515625" style="232" customWidth="1"/>
    <col min="15113" max="15113" width="12.140625" style="232" customWidth="1"/>
    <col min="15114" max="15358" width="9.140625" style="232"/>
    <col min="15359" max="15359" width="7.85546875" style="232" customWidth="1"/>
    <col min="15360" max="15360" width="8.85546875" style="232" customWidth="1"/>
    <col min="15361" max="15361" width="5.42578125" style="232" customWidth="1"/>
    <col min="15362" max="15362" width="9.140625" style="232"/>
    <col min="15363" max="15363" width="11" style="232" customWidth="1"/>
    <col min="15364" max="15364" width="8.5703125" style="232" customWidth="1"/>
    <col min="15365" max="15365" width="14.42578125" style="232" customWidth="1"/>
    <col min="15366" max="15366" width="5.5703125" style="232" customWidth="1"/>
    <col min="15367" max="15367" width="9.140625" style="232"/>
    <col min="15368" max="15368" width="32.28515625" style="232" customWidth="1"/>
    <col min="15369" max="15369" width="12.140625" style="232" customWidth="1"/>
    <col min="15370" max="15614" width="9.140625" style="232"/>
    <col min="15615" max="15615" width="7.85546875" style="232" customWidth="1"/>
    <col min="15616" max="15616" width="8.85546875" style="232" customWidth="1"/>
    <col min="15617" max="15617" width="5.42578125" style="232" customWidth="1"/>
    <col min="15618" max="15618" width="9.140625" style="232"/>
    <col min="15619" max="15619" width="11" style="232" customWidth="1"/>
    <col min="15620" max="15620" width="8.5703125" style="232" customWidth="1"/>
    <col min="15621" max="15621" width="14.42578125" style="232" customWidth="1"/>
    <col min="15622" max="15622" width="5.5703125" style="232" customWidth="1"/>
    <col min="15623" max="15623" width="9.140625" style="232"/>
    <col min="15624" max="15624" width="32.28515625" style="232" customWidth="1"/>
    <col min="15625" max="15625" width="12.140625" style="232" customWidth="1"/>
    <col min="15626" max="15870" width="9.140625" style="232"/>
    <col min="15871" max="15871" width="7.85546875" style="232" customWidth="1"/>
    <col min="15872" max="15872" width="8.85546875" style="232" customWidth="1"/>
    <col min="15873" max="15873" width="5.42578125" style="232" customWidth="1"/>
    <col min="15874" max="15874" width="9.140625" style="232"/>
    <col min="15875" max="15875" width="11" style="232" customWidth="1"/>
    <col min="15876" max="15876" width="8.5703125" style="232" customWidth="1"/>
    <col min="15877" max="15877" width="14.42578125" style="232" customWidth="1"/>
    <col min="15878" max="15878" width="5.5703125" style="232" customWidth="1"/>
    <col min="15879" max="15879" width="9.140625" style="232"/>
    <col min="15880" max="15880" width="32.28515625" style="232" customWidth="1"/>
    <col min="15881" max="15881" width="12.140625" style="232" customWidth="1"/>
    <col min="15882" max="16126" width="9.140625" style="232"/>
    <col min="16127" max="16127" width="7.85546875" style="232" customWidth="1"/>
    <col min="16128" max="16128" width="8.85546875" style="232" customWidth="1"/>
    <col min="16129" max="16129" width="5.42578125" style="232" customWidth="1"/>
    <col min="16130" max="16130" width="9.140625" style="232"/>
    <col min="16131" max="16131" width="11" style="232" customWidth="1"/>
    <col min="16132" max="16132" width="8.5703125" style="232" customWidth="1"/>
    <col min="16133" max="16133" width="14.42578125" style="232" customWidth="1"/>
    <col min="16134" max="16134" width="5.5703125" style="232" customWidth="1"/>
    <col min="16135" max="16135" width="9.140625" style="232"/>
    <col min="16136" max="16136" width="32.28515625" style="232" customWidth="1"/>
    <col min="16137" max="16137" width="12.140625" style="232" customWidth="1"/>
    <col min="16138" max="16384" width="9.140625" style="232"/>
  </cols>
  <sheetData>
    <row r="1" spans="1:9" ht="24.75" thickBot="1" x14ac:dyDescent="0.25">
      <c r="A1" s="472" t="s">
        <v>960</v>
      </c>
      <c r="B1" s="473"/>
      <c r="C1" s="473"/>
      <c r="D1" s="473"/>
      <c r="E1" s="473"/>
      <c r="F1" s="473"/>
      <c r="G1" s="473"/>
      <c r="H1" s="473"/>
      <c r="I1" s="474"/>
    </row>
    <row r="2" spans="1:9" ht="13.5" thickBot="1" x14ac:dyDescent="0.25">
      <c r="A2" s="233" t="s">
        <v>961</v>
      </c>
      <c r="B2" s="234" t="s">
        <v>962</v>
      </c>
      <c r="C2" s="234" t="s">
        <v>963</v>
      </c>
      <c r="D2" s="234" t="s">
        <v>964</v>
      </c>
      <c r="E2" s="235" t="s">
        <v>965</v>
      </c>
      <c r="F2" s="234" t="s">
        <v>966</v>
      </c>
      <c r="G2" s="234" t="s">
        <v>967</v>
      </c>
      <c r="H2" s="234" t="s">
        <v>968</v>
      </c>
      <c r="I2" s="236" t="s">
        <v>969</v>
      </c>
    </row>
    <row r="3" spans="1:9" ht="15" thickBot="1" x14ac:dyDescent="0.25">
      <c r="A3" s="475" t="s">
        <v>970</v>
      </c>
      <c r="B3" s="476"/>
      <c r="C3" s="476"/>
      <c r="D3" s="476"/>
      <c r="E3" s="476"/>
      <c r="F3" s="476"/>
      <c r="G3" s="476"/>
      <c r="H3" s="476"/>
      <c r="I3" s="477"/>
    </row>
    <row r="4" spans="1:9" ht="14.25" customHeight="1" x14ac:dyDescent="0.2">
      <c r="A4" s="478">
        <v>1</v>
      </c>
      <c r="B4" s="237">
        <v>1</v>
      </c>
      <c r="C4" s="238" t="s">
        <v>971</v>
      </c>
      <c r="D4" s="238" t="s">
        <v>972</v>
      </c>
      <c r="E4" s="238" t="s">
        <v>973</v>
      </c>
      <c r="F4" s="239" t="s">
        <v>974</v>
      </c>
      <c r="G4" s="238">
        <v>1986</v>
      </c>
      <c r="H4" s="240" t="s">
        <v>975</v>
      </c>
      <c r="I4" s="241" t="s">
        <v>976</v>
      </c>
    </row>
    <row r="5" spans="1:9" ht="15" customHeight="1" x14ac:dyDescent="0.2">
      <c r="A5" s="466"/>
      <c r="B5" s="242">
        <v>2</v>
      </c>
      <c r="C5" s="243" t="s">
        <v>971</v>
      </c>
      <c r="D5" s="243" t="s">
        <v>977</v>
      </c>
      <c r="E5" s="243" t="s">
        <v>973</v>
      </c>
      <c r="F5" s="244" t="s">
        <v>978</v>
      </c>
      <c r="G5" s="243">
        <v>1992</v>
      </c>
      <c r="H5" s="245" t="s">
        <v>975</v>
      </c>
      <c r="I5" s="246" t="s">
        <v>976</v>
      </c>
    </row>
    <row r="6" spans="1:9" ht="14.25" customHeight="1" x14ac:dyDescent="0.2">
      <c r="A6" s="466"/>
      <c r="B6" s="242">
        <v>3</v>
      </c>
      <c r="C6" s="243" t="s">
        <v>971</v>
      </c>
      <c r="D6" s="243" t="s">
        <v>979</v>
      </c>
      <c r="E6" s="243" t="s">
        <v>973</v>
      </c>
      <c r="F6" s="243" t="s">
        <v>980</v>
      </c>
      <c r="G6" s="243">
        <v>2000</v>
      </c>
      <c r="H6" s="245" t="s">
        <v>975</v>
      </c>
      <c r="I6" s="246" t="s">
        <v>976</v>
      </c>
    </row>
    <row r="7" spans="1:9" ht="15" customHeight="1" x14ac:dyDescent="0.2">
      <c r="A7" s="466"/>
      <c r="B7" s="242">
        <v>4</v>
      </c>
      <c r="C7" s="243" t="s">
        <v>971</v>
      </c>
      <c r="D7" s="243" t="s">
        <v>981</v>
      </c>
      <c r="E7" s="243" t="s">
        <v>973</v>
      </c>
      <c r="F7" s="243" t="s">
        <v>982</v>
      </c>
      <c r="G7" s="243">
        <v>1993</v>
      </c>
      <c r="H7" s="245" t="s">
        <v>975</v>
      </c>
      <c r="I7" s="246" t="s">
        <v>976</v>
      </c>
    </row>
    <row r="8" spans="1:9" ht="15" customHeight="1" x14ac:dyDescent="0.2">
      <c r="A8" s="466"/>
      <c r="B8" s="242">
        <v>5</v>
      </c>
      <c r="C8" s="243" t="s">
        <v>971</v>
      </c>
      <c r="D8" s="243" t="s">
        <v>983</v>
      </c>
      <c r="E8" s="243" t="s">
        <v>973</v>
      </c>
      <c r="F8" s="243" t="s">
        <v>984</v>
      </c>
      <c r="G8" s="243">
        <v>1994</v>
      </c>
      <c r="H8" s="245" t="s">
        <v>975</v>
      </c>
      <c r="I8" s="246" t="s">
        <v>985</v>
      </c>
    </row>
    <row r="9" spans="1:9" ht="14.25" customHeight="1" x14ac:dyDescent="0.2">
      <c r="A9" s="466"/>
      <c r="B9" s="242">
        <v>6</v>
      </c>
      <c r="C9" s="243" t="s">
        <v>971</v>
      </c>
      <c r="D9" s="243" t="s">
        <v>986</v>
      </c>
      <c r="E9" s="243" t="s">
        <v>973</v>
      </c>
      <c r="F9" s="243" t="s">
        <v>987</v>
      </c>
      <c r="G9" s="243">
        <v>1958</v>
      </c>
      <c r="H9" s="245" t="s">
        <v>975</v>
      </c>
      <c r="I9" s="246" t="s">
        <v>988</v>
      </c>
    </row>
    <row r="10" spans="1:9" ht="13.5" customHeight="1" x14ac:dyDescent="0.2">
      <c r="A10" s="466"/>
      <c r="B10" s="247">
        <v>7</v>
      </c>
      <c r="C10" s="243" t="s">
        <v>971</v>
      </c>
      <c r="D10" s="243" t="s">
        <v>986</v>
      </c>
      <c r="E10" s="243" t="s">
        <v>973</v>
      </c>
      <c r="F10" s="243" t="s">
        <v>989</v>
      </c>
      <c r="G10" s="243">
        <v>1991</v>
      </c>
      <c r="H10" s="245" t="s">
        <v>975</v>
      </c>
      <c r="I10" s="246" t="s">
        <v>985</v>
      </c>
    </row>
    <row r="11" spans="1:9" ht="13.5" customHeight="1" x14ac:dyDescent="0.2">
      <c r="A11" s="466"/>
      <c r="B11" s="247">
        <v>8</v>
      </c>
      <c r="C11" s="243" t="s">
        <v>971</v>
      </c>
      <c r="D11" s="243" t="s">
        <v>986</v>
      </c>
      <c r="E11" s="243" t="s">
        <v>973</v>
      </c>
      <c r="F11" s="243" t="s">
        <v>990</v>
      </c>
      <c r="G11" s="243">
        <v>2000</v>
      </c>
      <c r="H11" s="245" t="s">
        <v>975</v>
      </c>
      <c r="I11" s="246" t="s">
        <v>985</v>
      </c>
    </row>
    <row r="12" spans="1:9" ht="14.25" customHeight="1" x14ac:dyDescent="0.2">
      <c r="A12" s="466"/>
      <c r="B12" s="247">
        <v>9</v>
      </c>
      <c r="C12" s="243" t="s">
        <v>971</v>
      </c>
      <c r="D12" s="243" t="s">
        <v>986</v>
      </c>
      <c r="E12" s="243" t="s">
        <v>973</v>
      </c>
      <c r="F12" s="243" t="s">
        <v>991</v>
      </c>
      <c r="G12" s="243">
        <v>1976</v>
      </c>
      <c r="H12" s="245" t="s">
        <v>975</v>
      </c>
      <c r="I12" s="246" t="s">
        <v>976</v>
      </c>
    </row>
    <row r="13" spans="1:9" ht="13.5" customHeight="1" x14ac:dyDescent="0.2">
      <c r="A13" s="466"/>
      <c r="B13" s="247">
        <v>10</v>
      </c>
      <c r="C13" s="243" t="s">
        <v>971</v>
      </c>
      <c r="D13" s="243" t="s">
        <v>992</v>
      </c>
      <c r="E13" s="243" t="s">
        <v>973</v>
      </c>
      <c r="F13" s="243" t="s">
        <v>993</v>
      </c>
      <c r="G13" s="243">
        <v>1970</v>
      </c>
      <c r="H13" s="245" t="s">
        <v>975</v>
      </c>
      <c r="I13" s="246" t="s">
        <v>976</v>
      </c>
    </row>
    <row r="14" spans="1:9" ht="14.25" customHeight="1" x14ac:dyDescent="0.2">
      <c r="A14" s="466"/>
      <c r="B14" s="247">
        <v>11</v>
      </c>
      <c r="C14" s="243" t="s">
        <v>971</v>
      </c>
      <c r="D14" s="243" t="s">
        <v>992</v>
      </c>
      <c r="E14" s="243" t="s">
        <v>973</v>
      </c>
      <c r="F14" s="243" t="s">
        <v>994</v>
      </c>
      <c r="G14" s="243">
        <v>1983</v>
      </c>
      <c r="H14" s="245" t="s">
        <v>975</v>
      </c>
      <c r="I14" s="246" t="s">
        <v>995</v>
      </c>
    </row>
    <row r="15" spans="1:9" ht="14.25" customHeight="1" x14ac:dyDescent="0.2">
      <c r="A15" s="466"/>
      <c r="B15" s="247">
        <v>12</v>
      </c>
      <c r="C15" s="243" t="s">
        <v>971</v>
      </c>
      <c r="D15" s="243" t="s">
        <v>996</v>
      </c>
      <c r="E15" s="243" t="s">
        <v>973</v>
      </c>
      <c r="F15" s="243" t="s">
        <v>997</v>
      </c>
      <c r="G15" s="243">
        <v>1984</v>
      </c>
      <c r="H15" s="245" t="s">
        <v>975</v>
      </c>
      <c r="I15" s="246" t="s">
        <v>976</v>
      </c>
    </row>
    <row r="16" spans="1:9" ht="14.25" customHeight="1" x14ac:dyDescent="0.2">
      <c r="A16" s="466"/>
      <c r="B16" s="247">
        <v>13</v>
      </c>
      <c r="C16" s="243" t="s">
        <v>971</v>
      </c>
      <c r="D16" s="243" t="s">
        <v>996</v>
      </c>
      <c r="E16" s="243" t="s">
        <v>973</v>
      </c>
      <c r="F16" s="243" t="s">
        <v>998</v>
      </c>
      <c r="G16" s="243">
        <v>1981</v>
      </c>
      <c r="H16" s="245" t="s">
        <v>975</v>
      </c>
      <c r="I16" s="246" t="s">
        <v>976</v>
      </c>
    </row>
    <row r="17" spans="1:11" ht="14.25" customHeight="1" x14ac:dyDescent="0.2">
      <c r="A17" s="466"/>
      <c r="B17" s="243">
        <v>14</v>
      </c>
      <c r="C17" s="243" t="s">
        <v>971</v>
      </c>
      <c r="D17" s="243" t="s">
        <v>996</v>
      </c>
      <c r="E17" s="243" t="s">
        <v>973</v>
      </c>
      <c r="F17" s="243" t="s">
        <v>999</v>
      </c>
      <c r="G17" s="243">
        <v>1987</v>
      </c>
      <c r="H17" s="245" t="s">
        <v>975</v>
      </c>
      <c r="I17" s="246" t="s">
        <v>985</v>
      </c>
    </row>
    <row r="18" spans="1:11" ht="14.25" customHeight="1" x14ac:dyDescent="0.2">
      <c r="A18" s="466"/>
      <c r="B18" s="243">
        <v>15</v>
      </c>
      <c r="C18" s="243" t="s">
        <v>971</v>
      </c>
      <c r="D18" s="243" t="s">
        <v>996</v>
      </c>
      <c r="E18" s="243" t="s">
        <v>973</v>
      </c>
      <c r="F18" s="243" t="s">
        <v>1000</v>
      </c>
      <c r="G18" s="243">
        <v>1972</v>
      </c>
      <c r="H18" s="245" t="s">
        <v>975</v>
      </c>
      <c r="I18" s="246" t="s">
        <v>1001</v>
      </c>
    </row>
    <row r="19" spans="1:11" ht="14.25" customHeight="1" x14ac:dyDescent="0.2">
      <c r="A19" s="466"/>
      <c r="B19" s="242">
        <v>16</v>
      </c>
      <c r="C19" s="243" t="s">
        <v>971</v>
      </c>
      <c r="D19" s="243" t="s">
        <v>996</v>
      </c>
      <c r="E19" s="243" t="s">
        <v>973</v>
      </c>
      <c r="F19" s="243" t="s">
        <v>1002</v>
      </c>
      <c r="G19" s="243">
        <v>1976</v>
      </c>
      <c r="H19" s="245" t="s">
        <v>975</v>
      </c>
      <c r="I19" s="246" t="s">
        <v>985</v>
      </c>
    </row>
    <row r="20" spans="1:11" ht="14.25" customHeight="1" x14ac:dyDescent="0.2">
      <c r="A20" s="466"/>
      <c r="B20" s="242">
        <v>17</v>
      </c>
      <c r="C20" s="243" t="s">
        <v>971</v>
      </c>
      <c r="D20" s="243" t="s">
        <v>996</v>
      </c>
      <c r="E20" s="243" t="s">
        <v>973</v>
      </c>
      <c r="F20" s="243" t="s">
        <v>1003</v>
      </c>
      <c r="G20" s="243">
        <v>1991</v>
      </c>
      <c r="H20" s="245" t="s">
        <v>975</v>
      </c>
      <c r="I20" s="246" t="s">
        <v>976</v>
      </c>
    </row>
    <row r="21" spans="1:11" ht="14.25" customHeight="1" thickBot="1" x14ac:dyDescent="0.25">
      <c r="A21" s="479"/>
      <c r="B21" s="248">
        <v>18</v>
      </c>
      <c r="C21" s="249" t="s">
        <v>971</v>
      </c>
      <c r="D21" s="249" t="s">
        <v>1004</v>
      </c>
      <c r="E21" s="249" t="s">
        <v>973</v>
      </c>
      <c r="F21" s="249" t="s">
        <v>1005</v>
      </c>
      <c r="G21" s="249">
        <v>1971</v>
      </c>
      <c r="H21" s="250" t="s">
        <v>975</v>
      </c>
      <c r="I21" s="251" t="s">
        <v>976</v>
      </c>
    </row>
    <row r="22" spans="1:11" ht="14.25" customHeight="1" thickBot="1" x14ac:dyDescent="0.25">
      <c r="A22" s="480" t="s">
        <v>1006</v>
      </c>
      <c r="B22" s="481"/>
      <c r="C22" s="481"/>
      <c r="D22" s="481"/>
      <c r="E22" s="481"/>
      <c r="F22" s="481"/>
      <c r="G22" s="481"/>
      <c r="H22" s="481"/>
      <c r="I22" s="482"/>
    </row>
    <row r="23" spans="1:11" ht="13.5" customHeight="1" x14ac:dyDescent="0.2">
      <c r="A23" s="483">
        <v>2</v>
      </c>
      <c r="B23" s="252">
        <v>19</v>
      </c>
      <c r="C23" s="238" t="s">
        <v>1007</v>
      </c>
      <c r="D23" s="238" t="s">
        <v>1008</v>
      </c>
      <c r="E23" s="238" t="s">
        <v>973</v>
      </c>
      <c r="F23" s="239" t="s">
        <v>1009</v>
      </c>
      <c r="G23" s="238">
        <v>1982</v>
      </c>
      <c r="H23" s="240" t="s">
        <v>975</v>
      </c>
      <c r="I23" s="241" t="s">
        <v>976</v>
      </c>
      <c r="K23" s="232">
        <v>19</v>
      </c>
    </row>
    <row r="24" spans="1:11" ht="13.5" customHeight="1" x14ac:dyDescent="0.2">
      <c r="A24" s="484"/>
      <c r="B24" s="247">
        <v>20</v>
      </c>
      <c r="C24" s="243" t="s">
        <v>1007</v>
      </c>
      <c r="D24" s="243" t="s">
        <v>977</v>
      </c>
      <c r="E24" s="243" t="s">
        <v>973</v>
      </c>
      <c r="F24" s="244" t="s">
        <v>1010</v>
      </c>
      <c r="G24" s="243">
        <v>1976</v>
      </c>
      <c r="H24" s="245" t="s">
        <v>975</v>
      </c>
      <c r="I24" s="246" t="s">
        <v>1011</v>
      </c>
      <c r="K24" s="232">
        <v>20</v>
      </c>
    </row>
    <row r="25" spans="1:11" ht="13.5" customHeight="1" x14ac:dyDescent="0.2">
      <c r="A25" s="484"/>
      <c r="B25" s="247">
        <v>21</v>
      </c>
      <c r="C25" s="243" t="s">
        <v>1007</v>
      </c>
      <c r="D25" s="243" t="s">
        <v>981</v>
      </c>
      <c r="E25" s="243" t="s">
        <v>1012</v>
      </c>
      <c r="F25" s="243" t="s">
        <v>1013</v>
      </c>
      <c r="G25" s="243">
        <v>1981</v>
      </c>
      <c r="H25" s="245" t="s">
        <v>1014</v>
      </c>
      <c r="I25" s="246" t="s">
        <v>1015</v>
      </c>
      <c r="K25" s="232">
        <v>21</v>
      </c>
    </row>
    <row r="26" spans="1:11" ht="13.5" customHeight="1" x14ac:dyDescent="0.2">
      <c r="A26" s="484"/>
      <c r="B26" s="247">
        <v>22</v>
      </c>
      <c r="C26" s="243" t="s">
        <v>1007</v>
      </c>
      <c r="D26" s="243" t="s">
        <v>981</v>
      </c>
      <c r="E26" s="243" t="s">
        <v>1016</v>
      </c>
      <c r="F26" s="243" t="s">
        <v>1017</v>
      </c>
      <c r="G26" s="243">
        <v>1986</v>
      </c>
      <c r="H26" s="245" t="s">
        <v>1014</v>
      </c>
      <c r="I26" s="246" t="s">
        <v>1015</v>
      </c>
      <c r="K26" s="232">
        <v>22</v>
      </c>
    </row>
    <row r="27" spans="1:11" ht="13.5" customHeight="1" x14ac:dyDescent="0.2">
      <c r="A27" s="484"/>
      <c r="B27" s="247">
        <v>23</v>
      </c>
      <c r="C27" s="243" t="s">
        <v>1007</v>
      </c>
      <c r="D27" s="243" t="s">
        <v>981</v>
      </c>
      <c r="E27" s="243" t="s">
        <v>1016</v>
      </c>
      <c r="F27" s="243" t="s">
        <v>1018</v>
      </c>
      <c r="G27" s="243">
        <v>1979</v>
      </c>
      <c r="H27" s="245" t="s">
        <v>1014</v>
      </c>
      <c r="I27" s="246" t="s">
        <v>1019</v>
      </c>
      <c r="K27" s="232">
        <v>23</v>
      </c>
    </row>
    <row r="28" spans="1:11" ht="13.5" customHeight="1" x14ac:dyDescent="0.2">
      <c r="A28" s="484"/>
      <c r="B28" s="247">
        <v>24</v>
      </c>
      <c r="C28" s="243" t="s">
        <v>1007</v>
      </c>
      <c r="D28" s="243" t="s">
        <v>986</v>
      </c>
      <c r="E28" s="243" t="s">
        <v>1020</v>
      </c>
      <c r="F28" s="243" t="s">
        <v>1021</v>
      </c>
      <c r="G28" s="243">
        <v>1963</v>
      </c>
      <c r="H28" s="245" t="s">
        <v>1014</v>
      </c>
      <c r="I28" s="246" t="s">
        <v>1022</v>
      </c>
      <c r="K28" s="232">
        <v>24</v>
      </c>
    </row>
    <row r="29" spans="1:11" ht="13.5" customHeight="1" x14ac:dyDescent="0.2">
      <c r="A29" s="484"/>
      <c r="B29" s="247">
        <v>25</v>
      </c>
      <c r="C29" s="243" t="s">
        <v>1007</v>
      </c>
      <c r="D29" s="243" t="s">
        <v>986</v>
      </c>
      <c r="E29" s="243" t="s">
        <v>1016</v>
      </c>
      <c r="F29" s="243" t="s">
        <v>1023</v>
      </c>
      <c r="G29" s="243">
        <v>1996</v>
      </c>
      <c r="H29" s="245" t="s">
        <v>1014</v>
      </c>
      <c r="I29" s="246" t="s">
        <v>1015</v>
      </c>
      <c r="K29" s="232">
        <v>25</v>
      </c>
    </row>
    <row r="30" spans="1:11" ht="13.5" customHeight="1" x14ac:dyDescent="0.2">
      <c r="A30" s="484"/>
      <c r="B30" s="247">
        <v>26</v>
      </c>
      <c r="C30" s="243" t="s">
        <v>1007</v>
      </c>
      <c r="D30" s="243" t="s">
        <v>986</v>
      </c>
      <c r="E30" s="243" t="s">
        <v>1016</v>
      </c>
      <c r="F30" s="243" t="s">
        <v>1024</v>
      </c>
      <c r="G30" s="243">
        <v>1993</v>
      </c>
      <c r="H30" s="245" t="s">
        <v>1014</v>
      </c>
      <c r="I30" s="246" t="s">
        <v>1025</v>
      </c>
      <c r="K30" s="232">
        <v>26</v>
      </c>
    </row>
    <row r="31" spans="1:11" ht="13.5" customHeight="1" x14ac:dyDescent="0.2">
      <c r="A31" s="484"/>
      <c r="B31" s="247">
        <v>27</v>
      </c>
      <c r="C31" s="243" t="s">
        <v>1007</v>
      </c>
      <c r="D31" s="243" t="s">
        <v>986</v>
      </c>
      <c r="E31" s="243" t="s">
        <v>1016</v>
      </c>
      <c r="F31" s="243" t="s">
        <v>1026</v>
      </c>
      <c r="G31" s="243">
        <v>1994</v>
      </c>
      <c r="H31" s="245" t="s">
        <v>1014</v>
      </c>
      <c r="I31" s="246" t="s">
        <v>1015</v>
      </c>
      <c r="K31" s="232">
        <v>27</v>
      </c>
    </row>
    <row r="32" spans="1:11" ht="13.5" customHeight="1" x14ac:dyDescent="0.2">
      <c r="A32" s="484"/>
      <c r="B32" s="247">
        <v>28</v>
      </c>
      <c r="C32" s="243" t="s">
        <v>1007</v>
      </c>
      <c r="D32" s="243" t="s">
        <v>986</v>
      </c>
      <c r="E32" s="243" t="s">
        <v>973</v>
      </c>
      <c r="F32" s="243" t="s">
        <v>1027</v>
      </c>
      <c r="G32" s="243">
        <v>1971</v>
      </c>
      <c r="H32" s="245" t="s">
        <v>975</v>
      </c>
      <c r="I32" s="246" t="s">
        <v>1015</v>
      </c>
      <c r="K32" s="232">
        <v>28</v>
      </c>
    </row>
    <row r="33" spans="1:11" ht="13.5" customHeight="1" x14ac:dyDescent="0.2">
      <c r="A33" s="484"/>
      <c r="B33" s="247">
        <v>29</v>
      </c>
      <c r="C33" s="243" t="s">
        <v>1007</v>
      </c>
      <c r="D33" s="243" t="s">
        <v>986</v>
      </c>
      <c r="E33" s="243" t="s">
        <v>973</v>
      </c>
      <c r="F33" s="243" t="s">
        <v>1028</v>
      </c>
      <c r="G33" s="243">
        <v>1987</v>
      </c>
      <c r="H33" s="245" t="s">
        <v>975</v>
      </c>
      <c r="I33" s="246" t="s">
        <v>976</v>
      </c>
      <c r="K33" s="232">
        <v>29</v>
      </c>
    </row>
    <row r="34" spans="1:11" ht="13.5" customHeight="1" x14ac:dyDescent="0.2">
      <c r="A34" s="484"/>
      <c r="B34" s="247">
        <v>30</v>
      </c>
      <c r="C34" s="243" t="s">
        <v>1007</v>
      </c>
      <c r="D34" s="243" t="s">
        <v>986</v>
      </c>
      <c r="E34" s="243" t="s">
        <v>973</v>
      </c>
      <c r="F34" s="243" t="s">
        <v>1029</v>
      </c>
      <c r="G34" s="243">
        <v>1975</v>
      </c>
      <c r="H34" s="245" t="s">
        <v>975</v>
      </c>
      <c r="I34" s="246" t="s">
        <v>1030</v>
      </c>
      <c r="K34" s="232">
        <v>30</v>
      </c>
    </row>
    <row r="35" spans="1:11" ht="13.5" customHeight="1" x14ac:dyDescent="0.2">
      <c r="A35" s="484"/>
      <c r="B35" s="247">
        <v>31</v>
      </c>
      <c r="C35" s="243" t="s">
        <v>1007</v>
      </c>
      <c r="D35" s="243" t="s">
        <v>986</v>
      </c>
      <c r="E35" s="243" t="s">
        <v>973</v>
      </c>
      <c r="F35" s="243" t="s">
        <v>1031</v>
      </c>
      <c r="G35" s="243">
        <v>1984</v>
      </c>
      <c r="H35" s="245" t="s">
        <v>975</v>
      </c>
      <c r="I35" s="246" t="s">
        <v>976</v>
      </c>
      <c r="K35" s="232">
        <v>31</v>
      </c>
    </row>
    <row r="36" spans="1:11" ht="13.5" customHeight="1" x14ac:dyDescent="0.2">
      <c r="A36" s="484"/>
      <c r="B36" s="247">
        <v>32</v>
      </c>
      <c r="C36" s="243" t="s">
        <v>1007</v>
      </c>
      <c r="D36" s="243" t="s">
        <v>986</v>
      </c>
      <c r="E36" s="243" t="s">
        <v>973</v>
      </c>
      <c r="F36" s="243" t="s">
        <v>1032</v>
      </c>
      <c r="G36" s="243">
        <v>1963</v>
      </c>
      <c r="H36" s="245" t="s">
        <v>975</v>
      </c>
      <c r="I36" s="246" t="s">
        <v>976</v>
      </c>
      <c r="K36" s="232">
        <v>32</v>
      </c>
    </row>
    <row r="37" spans="1:11" ht="13.5" customHeight="1" x14ac:dyDescent="0.2">
      <c r="A37" s="484"/>
      <c r="B37" s="247">
        <v>33</v>
      </c>
      <c r="C37" s="243" t="s">
        <v>1007</v>
      </c>
      <c r="D37" s="243" t="s">
        <v>986</v>
      </c>
      <c r="E37" s="243" t="s">
        <v>973</v>
      </c>
      <c r="F37" s="243" t="s">
        <v>1033</v>
      </c>
      <c r="G37" s="243">
        <v>2002</v>
      </c>
      <c r="H37" s="245" t="s">
        <v>975</v>
      </c>
      <c r="I37" s="246" t="s">
        <v>1034</v>
      </c>
      <c r="K37" s="232">
        <v>33</v>
      </c>
    </row>
    <row r="38" spans="1:11" ht="13.5" customHeight="1" thickBot="1" x14ac:dyDescent="0.25">
      <c r="A38" s="485"/>
      <c r="B38" s="253">
        <v>34</v>
      </c>
      <c r="C38" s="249" t="s">
        <v>1007</v>
      </c>
      <c r="D38" s="249" t="s">
        <v>986</v>
      </c>
      <c r="E38" s="249" t="s">
        <v>973</v>
      </c>
      <c r="F38" s="249" t="s">
        <v>1035</v>
      </c>
      <c r="G38" s="249">
        <v>1976</v>
      </c>
      <c r="H38" s="250" t="s">
        <v>975</v>
      </c>
      <c r="I38" s="251" t="s">
        <v>1030</v>
      </c>
      <c r="K38" s="232">
        <v>34</v>
      </c>
    </row>
    <row r="39" spans="1:11" ht="13.5" customHeight="1" x14ac:dyDescent="0.2">
      <c r="A39" s="463">
        <v>3</v>
      </c>
      <c r="B39" s="252">
        <v>35</v>
      </c>
      <c r="C39" s="238" t="s">
        <v>1007</v>
      </c>
      <c r="D39" s="238" t="s">
        <v>983</v>
      </c>
      <c r="E39" s="238" t="s">
        <v>1020</v>
      </c>
      <c r="F39" s="238" t="s">
        <v>1036</v>
      </c>
      <c r="G39" s="238">
        <v>1970</v>
      </c>
      <c r="H39" s="240" t="s">
        <v>1014</v>
      </c>
      <c r="I39" s="241" t="s">
        <v>1037</v>
      </c>
      <c r="K39" s="232">
        <v>35</v>
      </c>
    </row>
    <row r="40" spans="1:11" ht="13.5" customHeight="1" x14ac:dyDescent="0.2">
      <c r="A40" s="464"/>
      <c r="B40" s="247">
        <v>36</v>
      </c>
      <c r="C40" s="243" t="s">
        <v>1007</v>
      </c>
      <c r="D40" s="243" t="s">
        <v>983</v>
      </c>
      <c r="E40" s="243" t="s">
        <v>973</v>
      </c>
      <c r="F40" s="243" t="s">
        <v>1038</v>
      </c>
      <c r="G40" s="243">
        <v>1975</v>
      </c>
      <c r="H40" s="245" t="s">
        <v>975</v>
      </c>
      <c r="I40" s="246" t="s">
        <v>1039</v>
      </c>
      <c r="K40" s="232">
        <v>36</v>
      </c>
    </row>
    <row r="41" spans="1:11" ht="13.5" customHeight="1" x14ac:dyDescent="0.2">
      <c r="A41" s="464"/>
      <c r="B41" s="247">
        <v>37</v>
      </c>
      <c r="C41" s="243" t="s">
        <v>1007</v>
      </c>
      <c r="D41" s="243" t="s">
        <v>983</v>
      </c>
      <c r="E41" s="243" t="s">
        <v>973</v>
      </c>
      <c r="F41" s="243" t="s">
        <v>1040</v>
      </c>
      <c r="G41" s="243">
        <v>1994</v>
      </c>
      <c r="H41" s="245" t="s">
        <v>975</v>
      </c>
      <c r="I41" s="246" t="s">
        <v>976</v>
      </c>
      <c r="K41" s="232">
        <v>37</v>
      </c>
    </row>
    <row r="42" spans="1:11" ht="13.5" customHeight="1" x14ac:dyDescent="0.2">
      <c r="A42" s="464"/>
      <c r="B42" s="247">
        <v>38</v>
      </c>
      <c r="C42" s="243" t="s">
        <v>1007</v>
      </c>
      <c r="D42" s="243" t="s">
        <v>992</v>
      </c>
      <c r="E42" s="243" t="s">
        <v>1016</v>
      </c>
      <c r="F42" s="243" t="s">
        <v>1041</v>
      </c>
      <c r="G42" s="243">
        <v>1972</v>
      </c>
      <c r="H42" s="245" t="s">
        <v>1014</v>
      </c>
      <c r="I42" s="246" t="s">
        <v>1042</v>
      </c>
      <c r="K42" s="232">
        <v>38</v>
      </c>
    </row>
    <row r="43" spans="1:11" ht="13.5" customHeight="1" x14ac:dyDescent="0.2">
      <c r="A43" s="464"/>
      <c r="B43" s="247">
        <v>39</v>
      </c>
      <c r="C43" s="243" t="s">
        <v>1007</v>
      </c>
      <c r="D43" s="243" t="s">
        <v>992</v>
      </c>
      <c r="E43" s="243" t="s">
        <v>1016</v>
      </c>
      <c r="F43" s="243" t="s">
        <v>1043</v>
      </c>
      <c r="G43" s="243">
        <v>1986</v>
      </c>
      <c r="H43" s="245" t="s">
        <v>1014</v>
      </c>
      <c r="I43" s="246" t="s">
        <v>1044</v>
      </c>
      <c r="K43" s="232">
        <v>39</v>
      </c>
    </row>
    <row r="44" spans="1:11" ht="14.25" customHeight="1" x14ac:dyDescent="0.2">
      <c r="A44" s="464"/>
      <c r="B44" s="247">
        <v>40</v>
      </c>
      <c r="C44" s="243" t="s">
        <v>1007</v>
      </c>
      <c r="D44" s="243" t="s">
        <v>992</v>
      </c>
      <c r="E44" s="243" t="s">
        <v>973</v>
      </c>
      <c r="F44" s="243" t="s">
        <v>1045</v>
      </c>
      <c r="G44" s="243">
        <v>1976</v>
      </c>
      <c r="H44" s="245" t="s">
        <v>975</v>
      </c>
      <c r="I44" s="246" t="s">
        <v>1046</v>
      </c>
      <c r="K44" s="232">
        <v>40</v>
      </c>
    </row>
    <row r="45" spans="1:11" ht="13.5" customHeight="1" x14ac:dyDescent="0.2">
      <c r="A45" s="464"/>
      <c r="B45" s="247">
        <v>41</v>
      </c>
      <c r="C45" s="243" t="s">
        <v>1007</v>
      </c>
      <c r="D45" s="243" t="s">
        <v>992</v>
      </c>
      <c r="E45" s="243" t="s">
        <v>973</v>
      </c>
      <c r="F45" s="243" t="s">
        <v>1047</v>
      </c>
      <c r="G45" s="243">
        <v>1991</v>
      </c>
      <c r="H45" s="245" t="s">
        <v>975</v>
      </c>
      <c r="I45" s="246" t="s">
        <v>1015</v>
      </c>
      <c r="K45" s="232">
        <v>41</v>
      </c>
    </row>
    <row r="46" spans="1:11" ht="13.5" customHeight="1" x14ac:dyDescent="0.2">
      <c r="A46" s="464"/>
      <c r="B46" s="247">
        <v>42</v>
      </c>
      <c r="C46" s="243" t="s">
        <v>1007</v>
      </c>
      <c r="D46" s="243" t="s">
        <v>992</v>
      </c>
      <c r="E46" s="243" t="s">
        <v>973</v>
      </c>
      <c r="F46" s="243" t="s">
        <v>1048</v>
      </c>
      <c r="G46" s="243">
        <v>1987</v>
      </c>
      <c r="H46" s="245" t="s">
        <v>975</v>
      </c>
      <c r="I46" s="246" t="s">
        <v>976</v>
      </c>
      <c r="K46" s="232">
        <v>42</v>
      </c>
    </row>
    <row r="47" spans="1:11" ht="13.5" customHeight="1" x14ac:dyDescent="0.2">
      <c r="A47" s="464"/>
      <c r="B47" s="247">
        <v>43</v>
      </c>
      <c r="C47" s="243" t="s">
        <v>1007</v>
      </c>
      <c r="D47" s="243" t="s">
        <v>992</v>
      </c>
      <c r="E47" s="243" t="s">
        <v>973</v>
      </c>
      <c r="F47" s="243" t="s">
        <v>1049</v>
      </c>
      <c r="G47" s="243">
        <v>1980</v>
      </c>
      <c r="H47" s="245" t="s">
        <v>975</v>
      </c>
      <c r="I47" s="246" t="s">
        <v>985</v>
      </c>
      <c r="K47" s="232">
        <v>43</v>
      </c>
    </row>
    <row r="48" spans="1:11" ht="13.5" customHeight="1" x14ac:dyDescent="0.2">
      <c r="A48" s="464"/>
      <c r="B48" s="243">
        <v>44</v>
      </c>
      <c r="C48" s="243" t="s">
        <v>1007</v>
      </c>
      <c r="D48" s="243" t="s">
        <v>992</v>
      </c>
      <c r="E48" s="243" t="s">
        <v>973</v>
      </c>
      <c r="F48" s="243" t="s">
        <v>1050</v>
      </c>
      <c r="G48" s="243">
        <v>1980</v>
      </c>
      <c r="H48" s="245" t="s">
        <v>975</v>
      </c>
      <c r="I48" s="246" t="s">
        <v>1015</v>
      </c>
      <c r="K48" s="232">
        <v>44</v>
      </c>
    </row>
    <row r="49" spans="1:11" ht="13.5" customHeight="1" x14ac:dyDescent="0.2">
      <c r="A49" s="464"/>
      <c r="B49" s="247">
        <v>45</v>
      </c>
      <c r="C49" s="243" t="s">
        <v>1007</v>
      </c>
      <c r="D49" s="243" t="s">
        <v>996</v>
      </c>
      <c r="E49" s="243" t="s">
        <v>973</v>
      </c>
      <c r="F49" s="243" t="s">
        <v>1051</v>
      </c>
      <c r="G49" s="243">
        <v>1992</v>
      </c>
      <c r="H49" s="245" t="s">
        <v>975</v>
      </c>
      <c r="I49" s="246" t="s">
        <v>985</v>
      </c>
      <c r="K49" s="232">
        <v>45</v>
      </c>
    </row>
    <row r="50" spans="1:11" ht="13.5" customHeight="1" x14ac:dyDescent="0.2">
      <c r="A50" s="464"/>
      <c r="B50" s="247">
        <v>46</v>
      </c>
      <c r="C50" s="243" t="s">
        <v>1007</v>
      </c>
      <c r="D50" s="243" t="s">
        <v>1004</v>
      </c>
      <c r="E50" s="243" t="s">
        <v>1052</v>
      </c>
      <c r="F50" s="243" t="s">
        <v>1053</v>
      </c>
      <c r="G50" s="243">
        <v>2001</v>
      </c>
      <c r="H50" s="245" t="s">
        <v>1014</v>
      </c>
      <c r="I50" s="246" t="s">
        <v>1015</v>
      </c>
      <c r="K50" s="232">
        <v>46</v>
      </c>
    </row>
    <row r="51" spans="1:11" ht="14.25" customHeight="1" x14ac:dyDescent="0.2">
      <c r="A51" s="464"/>
      <c r="B51" s="247">
        <v>47</v>
      </c>
      <c r="C51" s="243" t="s">
        <v>1007</v>
      </c>
      <c r="D51" s="243" t="s">
        <v>1004</v>
      </c>
      <c r="E51" s="243" t="s">
        <v>1054</v>
      </c>
      <c r="F51" s="243" t="s">
        <v>1055</v>
      </c>
      <c r="G51" s="243">
        <v>1960</v>
      </c>
      <c r="H51" s="245" t="s">
        <v>1014</v>
      </c>
      <c r="I51" s="246" t="s">
        <v>1044</v>
      </c>
      <c r="K51" s="232">
        <v>47</v>
      </c>
    </row>
    <row r="52" spans="1:11" ht="15" customHeight="1" x14ac:dyDescent="0.2">
      <c r="A52" s="464"/>
      <c r="B52" s="243">
        <v>48</v>
      </c>
      <c r="C52" s="243" t="s">
        <v>1007</v>
      </c>
      <c r="D52" s="243" t="s">
        <v>1004</v>
      </c>
      <c r="E52" s="243" t="s">
        <v>973</v>
      </c>
      <c r="F52" s="243" t="s">
        <v>1056</v>
      </c>
      <c r="G52" s="243">
        <v>1966</v>
      </c>
      <c r="H52" s="245" t="s">
        <v>975</v>
      </c>
      <c r="I52" s="246" t="s">
        <v>1057</v>
      </c>
      <c r="K52" s="232">
        <v>48</v>
      </c>
    </row>
    <row r="53" spans="1:11" x14ac:dyDescent="0.2">
      <c r="A53" s="464"/>
      <c r="B53" s="243">
        <v>49</v>
      </c>
      <c r="C53" s="243" t="s">
        <v>1007</v>
      </c>
      <c r="D53" s="243" t="s">
        <v>1004</v>
      </c>
      <c r="E53" s="243" t="s">
        <v>973</v>
      </c>
      <c r="F53" s="243" t="s">
        <v>1058</v>
      </c>
      <c r="G53" s="243">
        <v>1985</v>
      </c>
      <c r="H53" s="245" t="s">
        <v>975</v>
      </c>
      <c r="I53" s="246" t="s">
        <v>976</v>
      </c>
      <c r="K53" s="232">
        <v>49</v>
      </c>
    </row>
    <row r="54" spans="1:11" x14ac:dyDescent="0.2">
      <c r="A54" s="464"/>
      <c r="B54" s="247">
        <v>50</v>
      </c>
      <c r="C54" s="243" t="s">
        <v>1007</v>
      </c>
      <c r="D54" s="243" t="s">
        <v>1004</v>
      </c>
      <c r="E54" s="243" t="s">
        <v>973</v>
      </c>
      <c r="F54" s="243" t="s">
        <v>1059</v>
      </c>
      <c r="G54" s="243">
        <v>1992</v>
      </c>
      <c r="H54" s="245" t="s">
        <v>975</v>
      </c>
      <c r="I54" s="246" t="s">
        <v>976</v>
      </c>
      <c r="K54" s="232">
        <v>50</v>
      </c>
    </row>
    <row r="55" spans="1:11" ht="13.5" thickBot="1" x14ac:dyDescent="0.25">
      <c r="A55" s="465"/>
      <c r="B55" s="249">
        <v>51</v>
      </c>
      <c r="C55" s="249" t="s">
        <v>1007</v>
      </c>
      <c r="D55" s="249" t="s">
        <v>1004</v>
      </c>
      <c r="E55" s="249" t="s">
        <v>973</v>
      </c>
      <c r="F55" s="249" t="s">
        <v>1060</v>
      </c>
      <c r="G55" s="249">
        <v>1994</v>
      </c>
      <c r="H55" s="250" t="s">
        <v>975</v>
      </c>
      <c r="I55" s="251" t="s">
        <v>976</v>
      </c>
      <c r="K55" s="232">
        <v>51</v>
      </c>
    </row>
    <row r="56" spans="1:11" ht="17.25" x14ac:dyDescent="0.2">
      <c r="A56" s="466" t="s">
        <v>1061</v>
      </c>
      <c r="B56" s="467"/>
      <c r="C56" s="467"/>
      <c r="D56" s="467"/>
      <c r="E56" s="467"/>
      <c r="F56" s="467"/>
      <c r="G56" s="467"/>
      <c r="H56" s="467"/>
      <c r="I56" s="468"/>
    </row>
    <row r="57" spans="1:11" ht="14.25" thickBot="1" x14ac:dyDescent="0.25">
      <c r="A57" s="469" t="s">
        <v>1062</v>
      </c>
      <c r="B57" s="470"/>
      <c r="C57" s="470"/>
      <c r="D57" s="470"/>
      <c r="E57" s="470"/>
      <c r="F57" s="470"/>
      <c r="G57" s="470"/>
      <c r="H57" s="470"/>
      <c r="I57" s="471"/>
    </row>
    <row r="61" spans="1:11" ht="13.5" thickBot="1" x14ac:dyDescent="0.25">
      <c r="A61" s="256"/>
      <c r="B61" s="257"/>
      <c r="C61" s="258"/>
      <c r="D61" s="258"/>
      <c r="E61" s="258"/>
      <c r="F61" s="258"/>
      <c r="G61" s="258"/>
      <c r="H61" s="258"/>
      <c r="I61" s="257"/>
    </row>
  </sheetData>
  <mergeCells count="8">
    <mergeCell ref="A39:A55"/>
    <mergeCell ref="A56:I56"/>
    <mergeCell ref="A57:I57"/>
    <mergeCell ref="A1:I1"/>
    <mergeCell ref="A3:I3"/>
    <mergeCell ref="A4:A21"/>
    <mergeCell ref="A22:I22"/>
    <mergeCell ref="A23:A38"/>
  </mergeCells>
  <phoneticPr fontId="7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67"/>
  <sheetViews>
    <sheetView workbookViewId="0">
      <selection activeCell="E8" sqref="E8"/>
    </sheetView>
  </sheetViews>
  <sheetFormatPr defaultRowHeight="12.75" x14ac:dyDescent="0.2"/>
  <cols>
    <col min="1" max="1" width="40.140625" customWidth="1"/>
    <col min="2" max="2" width="7.42578125" customWidth="1"/>
    <col min="3" max="3" width="6.7109375" style="1" customWidth="1"/>
    <col min="4" max="4" width="8.28515625" customWidth="1"/>
    <col min="5" max="10" width="17.28515625" customWidth="1"/>
    <col min="11" max="11" width="5" customWidth="1"/>
    <col min="12" max="13" width="8.28515625" style="1" customWidth="1"/>
    <col min="14" max="14" width="4.7109375" customWidth="1"/>
    <col min="16" max="16" width="9.140625" customWidth="1"/>
  </cols>
  <sheetData>
    <row r="1" spans="1:23" s="32" customFormat="1" ht="25.5" x14ac:dyDescent="0.2">
      <c r="A1" s="32" t="s">
        <v>25</v>
      </c>
      <c r="C1" s="33" t="s">
        <v>26</v>
      </c>
      <c r="E1" s="33">
        <f>MATCH(Setup!B9,Lists!F1:J1,0)</f>
        <v>1</v>
      </c>
      <c r="F1" s="32" t="s">
        <v>0</v>
      </c>
      <c r="G1" s="32" t="s">
        <v>5</v>
      </c>
      <c r="H1" s="32" t="s">
        <v>4</v>
      </c>
      <c r="I1" s="32" t="s">
        <v>8</v>
      </c>
      <c r="J1" s="32" t="s">
        <v>9</v>
      </c>
      <c r="L1" s="33" t="s">
        <v>131</v>
      </c>
      <c r="M1" s="33" t="s">
        <v>112</v>
      </c>
      <c r="O1" t="s">
        <v>151</v>
      </c>
      <c r="P1" s="1"/>
      <c r="Q1" s="1"/>
      <c r="R1" s="1"/>
      <c r="W1"/>
    </row>
    <row r="2" spans="1:23" x14ac:dyDescent="0.2">
      <c r="A2" t="s">
        <v>27</v>
      </c>
      <c r="B2" t="s">
        <v>28</v>
      </c>
      <c r="C2" s="1">
        <v>11</v>
      </c>
      <c r="E2" t="str">
        <f ca="1">OFFSET(E2,0,$E$1)</f>
        <v>Squat 1</v>
      </c>
      <c r="F2" t="s">
        <v>27</v>
      </c>
      <c r="G2" t="s">
        <v>27</v>
      </c>
      <c r="H2" t="s">
        <v>29</v>
      </c>
      <c r="I2" t="s">
        <v>30</v>
      </c>
      <c r="J2" t="s">
        <v>29</v>
      </c>
      <c r="L2" s="1">
        <v>1</v>
      </c>
      <c r="M2" s="1" t="s">
        <v>68</v>
      </c>
      <c r="P2" s="1" t="str">
        <f>Setup!G15</f>
        <v>Kg</v>
      </c>
      <c r="Q2" s="1"/>
      <c r="R2" s="1"/>
      <c r="W2" t="s">
        <v>461</v>
      </c>
    </row>
    <row r="3" spans="1:23" x14ac:dyDescent="0.2">
      <c r="A3" t="s">
        <v>31</v>
      </c>
      <c r="B3" t="s">
        <v>32</v>
      </c>
      <c r="C3" s="1">
        <v>12</v>
      </c>
      <c r="E3" t="str">
        <f t="shared" ref="E3:E10" ca="1" si="0">OFFSET(E3,0,$E$1)</f>
        <v>Squat 2</v>
      </c>
      <c r="F3" t="s">
        <v>31</v>
      </c>
      <c r="G3" t="s">
        <v>31</v>
      </c>
      <c r="H3" t="s">
        <v>33</v>
      </c>
      <c r="I3" t="s">
        <v>34</v>
      </c>
      <c r="J3" t="s">
        <v>33</v>
      </c>
      <c r="L3" s="1">
        <v>2</v>
      </c>
      <c r="M3" s="1" t="s">
        <v>70</v>
      </c>
      <c r="P3" s="1">
        <f ca="1">ABS(Lists!B41)</f>
        <v>70</v>
      </c>
      <c r="Q3" s="1">
        <f ca="1">2*(Q6*P6+Q7*P7+Q8*P8+Q9*P9+Q10*P10+Q11*P11+Q12*P12+Q13*P13+Q14*P14+Q15*P15+Q16*P16)+Q35</f>
        <v>55</v>
      </c>
      <c r="R3" s="1"/>
      <c r="W3" t="s">
        <v>460</v>
      </c>
    </row>
    <row r="4" spans="1:23" x14ac:dyDescent="0.2">
      <c r="A4" t="s">
        <v>35</v>
      </c>
      <c r="B4" t="s">
        <v>36</v>
      </c>
      <c r="C4" s="1">
        <v>13</v>
      </c>
      <c r="E4" t="str">
        <f t="shared" ca="1" si="0"/>
        <v>Squat 3</v>
      </c>
      <c r="F4" t="s">
        <v>35</v>
      </c>
      <c r="G4" t="s">
        <v>35</v>
      </c>
      <c r="H4" t="s">
        <v>37</v>
      </c>
      <c r="I4" t="s">
        <v>38</v>
      </c>
      <c r="J4" t="s">
        <v>37</v>
      </c>
      <c r="L4" s="1">
        <v>3</v>
      </c>
      <c r="M4" s="1" t="s">
        <v>67</v>
      </c>
      <c r="O4" t="s">
        <v>10</v>
      </c>
      <c r="P4" s="1" t="s">
        <v>11</v>
      </c>
      <c r="Q4" s="1" t="s">
        <v>12</v>
      </c>
      <c r="R4" s="1"/>
      <c r="W4" t="s">
        <v>459</v>
      </c>
    </row>
    <row r="5" spans="1:23" x14ac:dyDescent="0.2">
      <c r="A5" t="s">
        <v>29</v>
      </c>
      <c r="B5" t="s">
        <v>39</v>
      </c>
      <c r="C5" s="1">
        <v>16</v>
      </c>
      <c r="E5" t="str">
        <f t="shared" ca="1" si="0"/>
        <v>Bench Press 1</v>
      </c>
      <c r="F5" t="s">
        <v>29</v>
      </c>
      <c r="G5" t="s">
        <v>798</v>
      </c>
      <c r="H5" t="s">
        <v>798</v>
      </c>
      <c r="I5" t="s">
        <v>798</v>
      </c>
      <c r="J5" t="s">
        <v>30</v>
      </c>
      <c r="L5" s="1">
        <v>4</v>
      </c>
      <c r="M5" s="1" t="s">
        <v>71</v>
      </c>
      <c r="O5" t="s">
        <v>14</v>
      </c>
      <c r="P5" s="1" t="s">
        <v>15</v>
      </c>
      <c r="Q5" s="1" t="s">
        <v>16</v>
      </c>
      <c r="R5" s="1"/>
      <c r="W5" t="s">
        <v>199</v>
      </c>
    </row>
    <row r="6" spans="1:23" x14ac:dyDescent="0.2">
      <c r="A6" t="s">
        <v>33</v>
      </c>
      <c r="B6" t="s">
        <v>41</v>
      </c>
      <c r="C6" s="1">
        <v>17</v>
      </c>
      <c r="E6" t="str">
        <f t="shared" ca="1" si="0"/>
        <v>Bench Press 2</v>
      </c>
      <c r="F6" t="s">
        <v>33</v>
      </c>
      <c r="G6" t="s">
        <v>40</v>
      </c>
      <c r="H6" t="s">
        <v>40</v>
      </c>
      <c r="I6" t="s">
        <v>40</v>
      </c>
      <c r="J6" t="s">
        <v>34</v>
      </c>
      <c r="L6" s="1">
        <v>5</v>
      </c>
      <c r="M6" s="1" t="s">
        <v>77</v>
      </c>
      <c r="O6" s="1">
        <f>Setup!B21</f>
        <v>0</v>
      </c>
      <c r="P6" s="1">
        <v>110</v>
      </c>
      <c r="Q6" s="1">
        <f ca="1">IF(OR(P3&lt;Q35,P2="Kg"),0,MIN(INT((P3-Q35)/(2*P6)),O6/2))</f>
        <v>0</v>
      </c>
      <c r="R6" s="1" t="str">
        <f ca="1">IF(Q6=0,"",IF(Q6&gt;1,CONCATENATE(Q6,"/",P6," "),CONCATENATE(P6," ")))</f>
        <v/>
      </c>
      <c r="W6" t="s">
        <v>200</v>
      </c>
    </row>
    <row r="7" spans="1:23" x14ac:dyDescent="0.2">
      <c r="A7" t="s">
        <v>37</v>
      </c>
      <c r="B7" t="s">
        <v>42</v>
      </c>
      <c r="C7" s="1">
        <v>18</v>
      </c>
      <c r="E7" t="str">
        <f t="shared" ca="1" si="0"/>
        <v>Bench Press 3</v>
      </c>
      <c r="F7" t="s">
        <v>37</v>
      </c>
      <c r="J7" t="s">
        <v>38</v>
      </c>
      <c r="L7" s="1">
        <v>6</v>
      </c>
      <c r="M7" s="1" t="s">
        <v>78</v>
      </c>
      <c r="O7" s="1">
        <f>Setup!B22</f>
        <v>0</v>
      </c>
      <c r="P7" s="1">
        <v>100</v>
      </c>
      <c r="Q7" s="1">
        <f ca="1">IF(OR(P3&lt;Q35,P2="Kg"),0,MIN(INT((P3-Q35-2*Q6*P6)/(2*P7)),O7/2))</f>
        <v>0</v>
      </c>
      <c r="R7" s="1" t="str">
        <f ca="1">IF(Q7=0,"",IF(Q7&gt;1,CONCATENATE(Q7,"/",P7," "),CONCATENATE(P7," ")))</f>
        <v/>
      </c>
      <c r="W7" t="s">
        <v>201</v>
      </c>
    </row>
    <row r="8" spans="1:23" x14ac:dyDescent="0.2">
      <c r="A8" t="s">
        <v>30</v>
      </c>
      <c r="B8" t="s">
        <v>43</v>
      </c>
      <c r="C8" s="1">
        <v>21</v>
      </c>
      <c r="E8" t="str">
        <f ca="1">OFFSET(E8,0,$E$1)</f>
        <v>Deadlift 1</v>
      </c>
      <c r="F8" t="s">
        <v>30</v>
      </c>
      <c r="J8" t="s">
        <v>798</v>
      </c>
      <c r="L8" s="1">
        <v>7</v>
      </c>
      <c r="M8" s="1" t="s">
        <v>79</v>
      </c>
      <c r="O8" s="1">
        <f>Setup!B23</f>
        <v>0</v>
      </c>
      <c r="P8" s="1">
        <v>55</v>
      </c>
      <c r="Q8" s="1">
        <f ca="1">IF(OR(P3&lt;Q35,P2="Kg"),0,MIN(INT((P3-Q35-2*Q6*P6-2*Q7*P7)/(2*P8)),O8/2))</f>
        <v>0</v>
      </c>
      <c r="R8" s="1" t="str">
        <f ca="1">IF(Q8=0,"",IF(Q8&gt;1,CONCATENATE(Q8,"/",P8," "),CONCATENATE(P8," ")))</f>
        <v/>
      </c>
      <c r="W8" t="s">
        <v>202</v>
      </c>
    </row>
    <row r="9" spans="1:23" x14ac:dyDescent="0.2">
      <c r="A9" t="s">
        <v>34</v>
      </c>
      <c r="B9" t="s">
        <v>44</v>
      </c>
      <c r="C9" s="1">
        <v>22</v>
      </c>
      <c r="E9" t="str">
        <f t="shared" ca="1" si="0"/>
        <v>Deadlift 2</v>
      </c>
      <c r="F9" t="s">
        <v>34</v>
      </c>
      <c r="J9" t="s">
        <v>40</v>
      </c>
      <c r="L9" s="1">
        <v>8</v>
      </c>
      <c r="M9" s="1" t="s">
        <v>80</v>
      </c>
      <c r="O9" s="1">
        <f>Setup!B24</f>
        <v>16</v>
      </c>
      <c r="P9" s="1">
        <v>45</v>
      </c>
      <c r="Q9" s="1">
        <f ca="1">IF(OR(P3&lt;Q35,P2="Kg"),0,MIN(INT((P3-Q35-2*Q6*P6-2*Q7*P7-2*Q8*P8)/(2*P9)),O9/2))</f>
        <v>0</v>
      </c>
      <c r="R9" s="1" t="str">
        <f ca="1">IF(Q9=0,"",IF(Q9&gt;1,CONCATENATE(Q9,"/",P9," "),CONCATENATE(P9," ")))</f>
        <v/>
      </c>
      <c r="W9" t="s">
        <v>119</v>
      </c>
    </row>
    <row r="10" spans="1:23" x14ac:dyDescent="0.2">
      <c r="A10" t="s">
        <v>38</v>
      </c>
      <c r="B10" t="s">
        <v>45</v>
      </c>
      <c r="C10" s="1">
        <v>23</v>
      </c>
      <c r="E10" t="str">
        <f t="shared" ca="1" si="0"/>
        <v>Deadlift 3</v>
      </c>
      <c r="F10" t="s">
        <v>38</v>
      </c>
      <c r="L10" s="1">
        <v>9</v>
      </c>
      <c r="M10" s="1" t="s">
        <v>113</v>
      </c>
      <c r="O10" s="1">
        <f>Setup!B25</f>
        <v>2</v>
      </c>
      <c r="P10" s="1">
        <v>35</v>
      </c>
      <c r="Q10" s="1">
        <f ca="1">IF(OR(P3&lt;Q35,P2="Kg"),0,MIN(INT((P3-Q35-2*Q6*P6-2*Q7*P7-2*Q8*P8-2*Q9*P9)/(2*P10)),O10/2))</f>
        <v>0</v>
      </c>
      <c r="R10" s="1" t="str">
        <f t="shared" ref="R10:R16" ca="1" si="1">IF(Q10=0,"",IF(Q10&gt;1,CONCATENATE(P10,"/",Q10," "),CONCATENATE(P10," ")))</f>
        <v/>
      </c>
      <c r="W10" t="s">
        <v>309</v>
      </c>
    </row>
    <row r="11" spans="1:23" x14ac:dyDescent="0.2">
      <c r="A11" s="198" t="s">
        <v>798</v>
      </c>
      <c r="E11" t="s">
        <v>798</v>
      </c>
      <c r="F11" t="s">
        <v>798</v>
      </c>
      <c r="L11" s="1">
        <v>10</v>
      </c>
      <c r="M11" s="1" t="s">
        <v>114</v>
      </c>
      <c r="O11" s="1">
        <f>Setup!B26</f>
        <v>2</v>
      </c>
      <c r="P11" s="1">
        <v>25</v>
      </c>
      <c r="Q11" s="1">
        <f ca="1">IF(OR(P3&lt;Q35,P2="Kg"),0,MIN(INT((P3-Q35-2*Q6*P6-2*Q7*P7-2*Q8*P8-2*Q9*P9-2*Q10*P10)/(2*P11)),O11/2))</f>
        <v>0</v>
      </c>
      <c r="R11" s="1" t="str">
        <f t="shared" ca="1" si="1"/>
        <v/>
      </c>
      <c r="W11" t="s">
        <v>310</v>
      </c>
    </row>
    <row r="12" spans="1:23" x14ac:dyDescent="0.2">
      <c r="A12" t="s">
        <v>40</v>
      </c>
      <c r="E12" t="str">
        <f ca="1">OFFSET(E12,0,$E$1)</f>
        <v>New Lifter</v>
      </c>
      <c r="F12" t="s">
        <v>40</v>
      </c>
      <c r="L12" s="1">
        <v>11</v>
      </c>
      <c r="M12" s="1" t="s">
        <v>115</v>
      </c>
      <c r="O12" s="1">
        <f>Setup!B27</f>
        <v>4</v>
      </c>
      <c r="P12" s="1">
        <v>10</v>
      </c>
      <c r="Q12" s="1">
        <f ca="1">IF(OR(P3&lt;Q35,P2="Kg"),0,MIN(INT((P3-Q35-2*Q6*P6-2*Q7*P7-2*Q8*P8-2*Q9*P9-2*Q10*P10-2*Q11*P11)/(2*P12)),O12/2))</f>
        <v>0</v>
      </c>
      <c r="R12" s="1" t="str">
        <f t="shared" ca="1" si="1"/>
        <v/>
      </c>
      <c r="W12" t="s">
        <v>311</v>
      </c>
    </row>
    <row r="13" spans="1:23" x14ac:dyDescent="0.2">
      <c r="A13" t="s">
        <v>1232</v>
      </c>
      <c r="L13" s="1">
        <v>12</v>
      </c>
      <c r="M13" s="1" t="s">
        <v>116</v>
      </c>
      <c r="O13" s="1">
        <f>Setup!B28</f>
        <v>2</v>
      </c>
      <c r="P13" s="1">
        <v>5</v>
      </c>
      <c r="Q13" s="1">
        <f ca="1">IF(OR(P3&lt;Q35,P2="Kg"),0,MIN(INT((P3-Q35-2*Q6*P6-2*Q7*P7-2*Q8*P8-2*Q9*P9-2*Q10*P10-2*Q11*P11-2*Q12*P12)/(2*P13)),O13/2))</f>
        <v>0</v>
      </c>
      <c r="R13" s="1" t="str">
        <f t="shared" ca="1" si="1"/>
        <v/>
      </c>
      <c r="W13" t="s">
        <v>312</v>
      </c>
    </row>
    <row r="14" spans="1:23" x14ac:dyDescent="0.2">
      <c r="A14" t="s">
        <v>105</v>
      </c>
      <c r="C14" s="30"/>
      <c r="L14" s="1">
        <v>13</v>
      </c>
      <c r="M14" s="1" t="s">
        <v>117</v>
      </c>
      <c r="O14" s="1">
        <f>Setup!B29</f>
        <v>2</v>
      </c>
      <c r="P14" s="1">
        <v>2.5</v>
      </c>
      <c r="Q14" s="1">
        <f ca="1">IF(OR(P3&lt;Q35,P2="Kg"),0,MIN(INT((P3-Q35-2*Q6*P6-2*Q7*P7-2*Q8*P8-2*Q9*P9-2*Q10*P10-2*Q11*P11-2*Q12*P12-2*Q13*P13)/(2*P14)),O14/2))</f>
        <v>0</v>
      </c>
      <c r="R14" s="1" t="str">
        <f t="shared" ca="1" si="1"/>
        <v/>
      </c>
      <c r="W14" t="s">
        <v>313</v>
      </c>
    </row>
    <row r="15" spans="1:23" x14ac:dyDescent="0.2">
      <c r="A15" t="s">
        <v>796</v>
      </c>
      <c r="B15" s="1">
        <f ca="1">COUNTA(INDIRECT("Lifting!B13:B500"))+12</f>
        <v>32</v>
      </c>
      <c r="C15" s="30"/>
      <c r="L15" s="1">
        <v>14</v>
      </c>
      <c r="M15" s="1" t="s">
        <v>118</v>
      </c>
      <c r="O15" s="1">
        <f>Setup!B30</f>
        <v>4</v>
      </c>
      <c r="P15" s="1">
        <v>1.25</v>
      </c>
      <c r="Q15" s="1">
        <f ca="1">IF(OR(P3&lt;Q35,P2="Kg"),0,MIN(INT((P3-Q35-2*Q6*P6-2*Q7*P7-2*Q8*P8-2*Q9*P9-2*Q10*P10-2*Q11*P11-2*Q12*P12-2*Q13*P13-2*Q14*P14)/(2*P15)),O15/2))</f>
        <v>0</v>
      </c>
      <c r="R15" s="1" t="str">
        <f t="shared" ca="1" si="1"/>
        <v/>
      </c>
      <c r="W15" t="s">
        <v>314</v>
      </c>
    </row>
    <row r="16" spans="1:23" x14ac:dyDescent="0.2">
      <c r="A16" t="s">
        <v>97</v>
      </c>
      <c r="B16" s="30">
        <f ca="1">COUNTA(INDIRECT("'Weigh-In'!F1:F500"))+1</f>
        <v>3</v>
      </c>
      <c r="C16" s="30"/>
      <c r="L16" s="1">
        <v>15</v>
      </c>
      <c r="M16" s="1" t="s">
        <v>119</v>
      </c>
      <c r="O16" s="1">
        <f>Setup!B31</f>
        <v>2</v>
      </c>
      <c r="P16" s="1">
        <v>0.5</v>
      </c>
      <c r="Q16" s="1">
        <f ca="1">IF(OR(P3&lt;Q35,P2="Kg"),0,MIN(INT((P3-Q35-2*Q6*P6-2*Q7*P7-2*Q8*P8-2*Q9*P9-2*Q10*P10-2*Q11*P11-2*Q12*P12-2*Q13*P13-2*Q14*P14-2*Q15*P15)/(2*P16)),O16/2))</f>
        <v>0</v>
      </c>
      <c r="R16" s="1" t="str">
        <f t="shared" ca="1" si="1"/>
        <v/>
      </c>
      <c r="W16" t="s">
        <v>315</v>
      </c>
    </row>
    <row r="17" spans="1:23" x14ac:dyDescent="0.2">
      <c r="C17" s="30"/>
      <c r="L17" s="1">
        <v>16</v>
      </c>
      <c r="M17" s="1" t="s">
        <v>120</v>
      </c>
      <c r="O17" s="1"/>
      <c r="P17" t="str">
        <f>Setup!G15</f>
        <v>Kg</v>
      </c>
      <c r="R17" s="1"/>
      <c r="W17" t="s">
        <v>316</v>
      </c>
    </row>
    <row r="18" spans="1:23" x14ac:dyDescent="0.2">
      <c r="A18" t="s">
        <v>106</v>
      </c>
      <c r="C18" s="30"/>
      <c r="L18" s="1">
        <v>17</v>
      </c>
      <c r="M18" s="1" t="s">
        <v>121</v>
      </c>
      <c r="O18" s="1"/>
      <c r="P18" s="1">
        <f ca="1">P3</f>
        <v>70</v>
      </c>
      <c r="Q18" s="1">
        <f ca="1">2*(Q21*P21+Q22*P22+Q23*P23+Q24*P24+Q25*P25+Q26*P26+Q27*P27+Q28*P28+Q29*P29+Q30*P30+Q31*P31)+Q36</f>
        <v>70</v>
      </c>
      <c r="R18" s="1"/>
      <c r="W18" t="s">
        <v>458</v>
      </c>
    </row>
    <row r="19" spans="1:23" x14ac:dyDescent="0.2">
      <c r="A19" t="s">
        <v>107</v>
      </c>
      <c r="B19" s="42" t="s">
        <v>1224</v>
      </c>
      <c r="C19" s="30"/>
      <c r="L19" s="1">
        <v>18</v>
      </c>
      <c r="M19" s="1" t="s">
        <v>122</v>
      </c>
      <c r="O19" s="1" t="s">
        <v>10</v>
      </c>
      <c r="P19" t="s">
        <v>13</v>
      </c>
      <c r="Q19" t="s">
        <v>12</v>
      </c>
      <c r="R19" s="1"/>
      <c r="W19" t="s">
        <v>457</v>
      </c>
    </row>
    <row r="20" spans="1:23" x14ac:dyDescent="0.2">
      <c r="A20" t="s">
        <v>103</v>
      </c>
      <c r="B20" s="42">
        <v>27</v>
      </c>
      <c r="C20" s="30"/>
      <c r="L20" s="1">
        <v>19</v>
      </c>
      <c r="M20" s="1" t="s">
        <v>123</v>
      </c>
      <c r="O20" s="1" t="s">
        <v>14</v>
      </c>
      <c r="P20" t="s">
        <v>15</v>
      </c>
      <c r="Q20" t="s">
        <v>16</v>
      </c>
      <c r="R20" s="1"/>
      <c r="W20" t="s">
        <v>456</v>
      </c>
    </row>
    <row r="21" spans="1:23" x14ac:dyDescent="0.2">
      <c r="A21" t="s">
        <v>104</v>
      </c>
      <c r="B21" s="42">
        <v>10</v>
      </c>
      <c r="C21" s="30"/>
      <c r="L21" s="1">
        <v>20</v>
      </c>
      <c r="M21" s="1" t="s">
        <v>124</v>
      </c>
      <c r="O21" s="1">
        <f>Setup!E21</f>
        <v>0</v>
      </c>
      <c r="P21" s="1">
        <v>50</v>
      </c>
      <c r="Q21" s="1">
        <f ca="1">IF(OR(P3&lt;Q36,P17="Lb"),0,MIN(INT((P18-Q36)/(2*P21)),O21/2))</f>
        <v>0</v>
      </c>
      <c r="R21" s="1" t="str">
        <f ca="1">IF(Q21=0,"",IF(Q21&gt;1,CONCATENATE(Q21,"/",P21," "),CONCATENATE(P21," ")))</f>
        <v/>
      </c>
      <c r="W21" t="s">
        <v>455</v>
      </c>
    </row>
    <row r="22" spans="1:23" x14ac:dyDescent="0.2">
      <c r="A22" t="s">
        <v>102</v>
      </c>
      <c r="B22" s="36" t="str">
        <f>ADDRESS(B20,B21,,1,"Lifting")</f>
        <v>Lifting!$J$27</v>
      </c>
      <c r="C22" s="30"/>
      <c r="L22" s="1">
        <v>21</v>
      </c>
      <c r="M22" s="1" t="s">
        <v>125</v>
      </c>
      <c r="O22" s="1">
        <f>Setup!E22</f>
        <v>0</v>
      </c>
      <c r="P22" s="1">
        <v>45</v>
      </c>
      <c r="Q22" s="1">
        <f ca="1">IF(OR(P3&lt;Q36,P17="Lb"),0,MIN(INT((P18-Q36-2*Q21*P21)/(2*P22)),O22/2))</f>
        <v>0</v>
      </c>
      <c r="R22" s="1" t="str">
        <f ca="1">IF(Q22=0,"",IF(Q22&gt;1,CONCATENATE(Q22,"/",P22," "),CONCATENATE(P22," ")))</f>
        <v/>
      </c>
      <c r="W22" t="s">
        <v>454</v>
      </c>
    </row>
    <row r="23" spans="1:23" x14ac:dyDescent="0.2">
      <c r="A23" t="s">
        <v>100</v>
      </c>
      <c r="B23" s="1" t="str">
        <f>VLOOKUP(Lifting!A3,Lists!A2:C10,2,FALSE)</f>
        <v>SQ-1</v>
      </c>
      <c r="C23" s="30"/>
      <c r="L23" s="1">
        <v>22</v>
      </c>
      <c r="M23" s="1" t="s">
        <v>126</v>
      </c>
      <c r="O23" s="1">
        <f>Setup!E23</f>
        <v>12</v>
      </c>
      <c r="P23" s="1">
        <v>25</v>
      </c>
      <c r="Q23" s="1">
        <f ca="1">IF(OR(P3&lt;Q36,P17="Lb"),0,MIN(INT((P18-Q36-2*Q21*P21-2*Q22*P22)/(2*P23)),O23/2))</f>
        <v>0</v>
      </c>
      <c r="R23" s="1" t="str">
        <f ca="1">IF(Q23=0,"",IF(Q23&gt;1,CONCATENATE(Q23,"/",P23," "),CONCATENATE(P23," ")))</f>
        <v/>
      </c>
      <c r="W23" t="s">
        <v>453</v>
      </c>
    </row>
    <row r="24" spans="1:23" x14ac:dyDescent="0.2">
      <c r="A24" t="s">
        <v>99</v>
      </c>
      <c r="B24" s="1">
        <f ca="1">MATCH(B23,INDIRECT("Lifting!A11:AZ11"),0)</f>
        <v>11</v>
      </c>
      <c r="C24" s="30"/>
      <c r="L24" s="1">
        <v>23</v>
      </c>
      <c r="M24" s="1" t="s">
        <v>127</v>
      </c>
      <c r="O24" s="1">
        <f>Setup!E24</f>
        <v>2</v>
      </c>
      <c r="P24" s="1">
        <v>20</v>
      </c>
      <c r="Q24" s="1">
        <f ca="1">IF(OR(P3&lt;Q36,P17="Lb"),0,MIN(INT((P18-Q36-2*Q21*P21-2*Q22*P22-2*Q23*P23)/(2*P24)),O24/2))</f>
        <v>1</v>
      </c>
      <c r="R24" s="1" t="str">
        <f t="shared" ref="R24:R31" ca="1" si="2">IF(Q24=0,"",IF(Q24&gt;1,CONCATENATE(P24,"/",Q24," "),CONCATENATE(P24," ")))</f>
        <v xml:space="preserve">20 </v>
      </c>
      <c r="W24" t="s">
        <v>452</v>
      </c>
    </row>
    <row r="25" spans="1:23" x14ac:dyDescent="0.2">
      <c r="A25" t="s">
        <v>101</v>
      </c>
      <c r="B25" s="1">
        <f ca="1">MATCH(Lifting!A1,INDIRECT("Lifting!B1:B500"),0)</f>
        <v>13</v>
      </c>
      <c r="C25" s="30"/>
      <c r="L25" s="1">
        <v>24</v>
      </c>
      <c r="M25" s="1" t="s">
        <v>128</v>
      </c>
      <c r="O25" s="1">
        <f>Setup!E25</f>
        <v>2</v>
      </c>
      <c r="P25" s="1">
        <v>15</v>
      </c>
      <c r="Q25" s="1">
        <f ca="1">IF(OR(P3&lt;Q36,P17="Lb"),0,MIN(INT((P18-Q36-2*Q21*P21-2*Q22*P22-2*Q23*P23-2*Q24*P24)/(2*P25)),O25/2))</f>
        <v>0</v>
      </c>
      <c r="R25" s="1" t="str">
        <f t="shared" ca="1" si="2"/>
        <v/>
      </c>
      <c r="W25" t="s">
        <v>451</v>
      </c>
    </row>
    <row r="26" spans="1:23" x14ac:dyDescent="0.2">
      <c r="A26" s="199" t="s">
        <v>108</v>
      </c>
      <c r="B26" s="200">
        <f ca="1">COUNTA(INDIRECT("Lifting!B12:B500"))+12</f>
        <v>32</v>
      </c>
      <c r="C26" s="30"/>
      <c r="L26" s="1">
        <v>25</v>
      </c>
      <c r="M26" s="1" t="s">
        <v>129</v>
      </c>
      <c r="O26" s="1">
        <f>Setup!E26</f>
        <v>2</v>
      </c>
      <c r="P26" s="1">
        <v>10</v>
      </c>
      <c r="Q26" s="1">
        <f ca="1">IF(OR(P3&lt;Q36,P17="Lb"),0,MIN(INT((P18-Q36-2*Q21*P21-2*Q22*P22-2*Q23*P23-2*Q24*P24-2*Q25*P25)/(2*P26)),O26/2))</f>
        <v>0</v>
      </c>
      <c r="R26" s="1" t="str">
        <f t="shared" ca="1" si="2"/>
        <v/>
      </c>
      <c r="W26" t="s">
        <v>450</v>
      </c>
    </row>
    <row r="27" spans="1:23" x14ac:dyDescent="0.2">
      <c r="A27" s="117" t="s">
        <v>109</v>
      </c>
      <c r="B27" s="42" t="s">
        <v>1285</v>
      </c>
      <c r="C27" s="30" t="str">
        <f>VLOOKUP(Lifting!A11,Setup!P5:Q20,2,FALSE)</f>
        <v>A</v>
      </c>
      <c r="D27" s="1"/>
      <c r="L27" s="1">
        <v>26</v>
      </c>
      <c r="M27" s="1" t="s">
        <v>130</v>
      </c>
      <c r="O27" s="1">
        <f>Setup!E27</f>
        <v>2</v>
      </c>
      <c r="P27" s="1">
        <v>5</v>
      </c>
      <c r="Q27" s="1">
        <f ca="1">IF(OR(P3&lt;Q36,P17="Lb"),0,MIN(INT((P18-Q36-2*Q21*P21-2*Q22*P22-2*Q23*P23-2*Q24*P24-2*Q25*P25-2*Q26*P26)/(2*P27)),O27/2))</f>
        <v>0</v>
      </c>
      <c r="R27" s="1" t="str">
        <f t="shared" ca="1" si="2"/>
        <v/>
      </c>
      <c r="W27" t="s">
        <v>449</v>
      </c>
    </row>
    <row r="28" spans="1:23" x14ac:dyDescent="0.2">
      <c r="A28" t="s">
        <v>795</v>
      </c>
      <c r="B28" s="1">
        <f ca="1">MATCH(B27,INDIRECT("Lifting!A1:A500"),0)</f>
        <v>13</v>
      </c>
      <c r="O28" s="1">
        <f>Setup!E28</f>
        <v>2</v>
      </c>
      <c r="P28" s="1">
        <v>2.5</v>
      </c>
      <c r="Q28" s="1">
        <f ca="1">IF(OR(P3&lt;Q36,P17="Lb"),0,MIN(INT((P18-Q36-2*Q21*P21-2*Q22*P22-2*Q23*P23-2*Q24*P24-2*Q25*P25-2*Q26*P26-2*Q27*P27)/(2*P28)),O28/2))</f>
        <v>1</v>
      </c>
      <c r="R28" s="1" t="str">
        <f t="shared" ca="1" si="2"/>
        <v xml:space="preserve">2.5 </v>
      </c>
      <c r="W28" t="s">
        <v>448</v>
      </c>
    </row>
    <row r="29" spans="1:23" x14ac:dyDescent="0.2">
      <c r="A29" t="s">
        <v>797</v>
      </c>
      <c r="B29" s="1">
        <f ca="1">COUNTIF(INDIRECT("Lifting!A1:A500"),B27)+B28-1</f>
        <v>22</v>
      </c>
      <c r="C29" s="37"/>
      <c r="O29" s="1">
        <f>Setup!E29</f>
        <v>2</v>
      </c>
      <c r="P29" s="1">
        <v>1.25</v>
      </c>
      <c r="Q29" s="1">
        <f ca="1">IF(OR(P3&lt;Q36,P17="Lb"),0,MIN(INT((P18-Q36-2*Q21*P21-2*Q22*P22-2*Q23*P23-2*Q24*P24-2*Q25*P25-2*Q26*P26-2*Q27*P27-2*Q28*P28)/(2*P29)),O29/2))</f>
        <v>0</v>
      </c>
      <c r="R29" s="1" t="str">
        <f t="shared" ca="1" si="2"/>
        <v/>
      </c>
      <c r="W29" t="s">
        <v>447</v>
      </c>
    </row>
    <row r="30" spans="1:23" x14ac:dyDescent="0.2">
      <c r="A30" t="s">
        <v>110</v>
      </c>
      <c r="B30" s="42">
        <v>11</v>
      </c>
      <c r="O30" s="1">
        <f>Setup!E30</f>
        <v>2</v>
      </c>
      <c r="P30" s="1">
        <v>0.5</v>
      </c>
      <c r="Q30" s="1">
        <f ca="1">IF(OR(P3&lt;Q36,P17="Lb"),0,MIN(INT((P18-Q36-2*Q21*P21-2*Q22*P22-2*Q23*P23-2*Q24*P24-2*Q25*P25-2*Q26*P26-2*Q27*P27-2*Q28*P28-2*Q29*P29)/(2*P30)),O30/2))</f>
        <v>0</v>
      </c>
      <c r="R30" s="1" t="str">
        <f t="shared" ca="1" si="2"/>
        <v/>
      </c>
      <c r="W30" t="s">
        <v>446</v>
      </c>
    </row>
    <row r="31" spans="1:23" x14ac:dyDescent="0.2">
      <c r="A31" t="s">
        <v>111</v>
      </c>
      <c r="B31" s="1" t="str">
        <f>VLOOKUP(B30,L2:M27,2,FALSE)</f>
        <v>K</v>
      </c>
      <c r="O31" s="1">
        <f>Setup!E31</f>
        <v>2</v>
      </c>
      <c r="P31" s="1">
        <v>0.25</v>
      </c>
      <c r="Q31" s="1">
        <f ca="1">IF(OR(P3&lt;Q36,P17="Lb"),0,MIN(INT((P18-Q36-2*Q21*P21-2*Q22*P22-2*Q23*P23-2*Q24*P24-2*Q25*P25-2*Q26*P26-2*Q27*P27-2*Q28*P28-2*Q29*P29-2*Q30*P30)/(2*P31)),O31/2))</f>
        <v>0</v>
      </c>
      <c r="R31" s="1" t="str">
        <f t="shared" ca="1" si="2"/>
        <v/>
      </c>
      <c r="W31" t="s">
        <v>445</v>
      </c>
    </row>
    <row r="32" spans="1:23" x14ac:dyDescent="0.2">
      <c r="A32" t="s">
        <v>137</v>
      </c>
      <c r="B32" s="1">
        <f ca="1">COUNTIF(INDIRECT("Lifting!A1:A500"),B27)+12</f>
        <v>22</v>
      </c>
      <c r="P32" s="1"/>
      <c r="Q32" s="1"/>
      <c r="R32" s="1"/>
      <c r="W32" t="s">
        <v>444</v>
      </c>
    </row>
    <row r="33" spans="1:23" x14ac:dyDescent="0.2">
      <c r="A33" t="s">
        <v>133</v>
      </c>
      <c r="B33" s="1">
        <f ca="1">MAX(INDIRECT("Lifting!AJ1:AJ500"))</f>
        <v>52</v>
      </c>
      <c r="P33" s="1"/>
      <c r="Q33" s="1"/>
      <c r="R33" s="1"/>
      <c r="W33" t="s">
        <v>443</v>
      </c>
    </row>
    <row r="34" spans="1:23" x14ac:dyDescent="0.2">
      <c r="A34" t="s">
        <v>135</v>
      </c>
      <c r="B34" s="1">
        <f ca="1">MAX(INDIRECT("Lifting!AK1:AK500"))</f>
        <v>42</v>
      </c>
      <c r="P34" s="1"/>
      <c r="Q34" s="1"/>
      <c r="R34" s="1"/>
      <c r="W34" t="s">
        <v>442</v>
      </c>
    </row>
    <row r="35" spans="1:23" x14ac:dyDescent="0.2">
      <c r="A35" t="s">
        <v>134</v>
      </c>
      <c r="B35" s="1">
        <f ca="1">MAX(INDIRECT("Lifting!AL1:AL500"))</f>
        <v>46</v>
      </c>
      <c r="D35" t="s">
        <v>822</v>
      </c>
      <c r="O35" s="36" t="s">
        <v>152</v>
      </c>
      <c r="P35" s="1"/>
      <c r="Q35" s="1">
        <f>Setup!D32</f>
        <v>55</v>
      </c>
      <c r="R35" s="1"/>
      <c r="W35" t="s">
        <v>441</v>
      </c>
    </row>
    <row r="36" spans="1:23" x14ac:dyDescent="0.2">
      <c r="A36" s="41" t="s">
        <v>132</v>
      </c>
      <c r="B36" s="30">
        <f ca="1">ABS(INDIRECT(CONCATENATE("Lifting!",VLOOKUP(B24,L2:M27,2,FALSE),B25)))</f>
        <v>70</v>
      </c>
      <c r="D36">
        <f ca="1">INDIRECT(ADDRESS(B25,25,1,1,"Lifting"))</f>
        <v>290</v>
      </c>
      <c r="O36" s="36" t="s">
        <v>153</v>
      </c>
      <c r="Q36" s="1">
        <f>Setup!G32</f>
        <v>25</v>
      </c>
      <c r="R36" s="1"/>
      <c r="W36" t="s">
        <v>440</v>
      </c>
    </row>
    <row r="37" spans="1:23" x14ac:dyDescent="0.2">
      <c r="A37" t="s">
        <v>155</v>
      </c>
      <c r="B37" t="str">
        <f ca="1">IF(LEFT(B23,1)="D","",CONCATENATE("Rack ",INDIRECT(CONCATENATE("Lifting!",IF(LEFT(B23,1)="S","J",IF(LEFT(B23,1)="B","O","Z")),B25))))</f>
        <v>Rack 13</v>
      </c>
      <c r="P37" s="1"/>
      <c r="Q37" s="1"/>
      <c r="R37" s="1"/>
      <c r="W37" t="s">
        <v>439</v>
      </c>
    </row>
    <row r="38" spans="1:23" x14ac:dyDescent="0.2">
      <c r="A38" t="s">
        <v>148</v>
      </c>
      <c r="B38" s="1">
        <f ca="1">MAX(INDIRECT("Setup!K6:K500"))</f>
        <v>1</v>
      </c>
      <c r="N38" s="48" t="s">
        <v>662</v>
      </c>
      <c r="O38" t="str">
        <f ca="1">IF(AND(RIGHT(B23,1)="3",B25=B32),"",IF(B36=B41,"On Deck Barload - No Change",CONCATENATE("On Deck Barload ",R6,R7,R8,R9,R10,R11,R12,R13,R14,R15,R16,R21,R22,R23,R24,R25,R26,R27,R28,R29,R30,R31)))</f>
        <v>On Deck Barload - No Change</v>
      </c>
      <c r="P38" s="1"/>
      <c r="Q38" s="1"/>
      <c r="R38" s="1"/>
      <c r="W38" t="s">
        <v>438</v>
      </c>
    </row>
    <row r="39" spans="1:23" x14ac:dyDescent="0.2">
      <c r="A39" t="s">
        <v>149</v>
      </c>
      <c r="B39" s="1" t="str">
        <f ca="1">Lifting!D2</f>
        <v>74</v>
      </c>
    </row>
    <row r="40" spans="1:23" x14ac:dyDescent="0.2">
      <c r="A40" t="s">
        <v>150</v>
      </c>
      <c r="B40" s="1" t="str">
        <f ca="1">INDIRECT(CONCATENATE("Lifting!D",B25))</f>
        <v>M-JR-U</v>
      </c>
      <c r="E40" s="1" t="s">
        <v>589</v>
      </c>
      <c r="F40" s="1" t="s">
        <v>590</v>
      </c>
    </row>
    <row r="41" spans="1:23" x14ac:dyDescent="0.2">
      <c r="A41" t="s">
        <v>154</v>
      </c>
      <c r="B41" s="1">
        <f ca="1">INDIRECT(ADDRESS(IF(B25+F41&gt;B29,13,B25+F41),IF(B25+F41&gt;B29,B24+1,B24),1,1,"Lifting"))</f>
        <v>70</v>
      </c>
      <c r="D41" t="b">
        <f ca="1">AND(B32=B25,RIGHT(B23,1)=3)</f>
        <v>0</v>
      </c>
      <c r="E41" s="1">
        <f ca="1">INDIRECT(ADDRESS(Lists!B25,7,1,1,"Lifting"))</f>
        <v>34</v>
      </c>
      <c r="F41" s="1">
        <f ca="1">COUNTIF(INDIRECT("Lifting!B13:B100"),Lifting!A1)</f>
        <v>1</v>
      </c>
    </row>
    <row r="42" spans="1:23" x14ac:dyDescent="0.2">
      <c r="A42" t="s">
        <v>158</v>
      </c>
      <c r="B42" s="1">
        <f ca="1">COUNTA(INDIRECT("QuickPrint!A2:A500"))+1</f>
        <v>22</v>
      </c>
    </row>
    <row r="43" spans="1:23" x14ac:dyDescent="0.2">
      <c r="A43" t="s">
        <v>159</v>
      </c>
      <c r="B43" s="1">
        <f ca="1">COUNTA(INDIRECT("QuickPrint!B1:B500"))+6</f>
        <v>28</v>
      </c>
    </row>
    <row r="44" spans="1:23" x14ac:dyDescent="0.2">
      <c r="A44" t="s">
        <v>160</v>
      </c>
      <c r="B44" s="1">
        <f ca="1">COUNTIF(INDIRECT("Lifting!AM1:AM500"),1)</f>
        <v>20</v>
      </c>
    </row>
    <row r="45" spans="1:23" x14ac:dyDescent="0.2">
      <c r="A45" t="s">
        <v>161</v>
      </c>
      <c r="B45" s="1">
        <f ca="1">C45+D45</f>
        <v>24</v>
      </c>
      <c r="C45" s="1">
        <f ca="1">COUNTA(INDIRECT("QuickPrint!B1:B200"))+1</f>
        <v>23</v>
      </c>
      <c r="D45">
        <f>COUNTIF(QuickPrint!B:B,"Name")</f>
        <v>1</v>
      </c>
    </row>
    <row r="46" spans="1:23" x14ac:dyDescent="0.2">
      <c r="A46" t="s">
        <v>179</v>
      </c>
      <c r="B46" s="1">
        <f ca="1">INDIRECT(CONCATENATE("Lifting!",IF(B23="SQ-3","AK","AL"),B32+1))</f>
        <v>41</v>
      </c>
      <c r="C46" s="36" t="s">
        <v>180</v>
      </c>
    </row>
    <row r="47" spans="1:23" x14ac:dyDescent="0.2">
      <c r="A47" t="s">
        <v>183</v>
      </c>
      <c r="B47" s="1" t="str">
        <f>IF(B23="SQ-3","P","U")</f>
        <v>U</v>
      </c>
    </row>
    <row r="48" spans="1:23" x14ac:dyDescent="0.2">
      <c r="A48" t="s">
        <v>181</v>
      </c>
      <c r="B48" s="1">
        <f ca="1">IFERROR(MATCH(1,INDIRECT("Lifting!AH1:AH500"),0),0)</f>
        <v>23</v>
      </c>
    </row>
    <row r="49" spans="1:10" x14ac:dyDescent="0.2">
      <c r="A49" t="s">
        <v>182</v>
      </c>
      <c r="B49" s="128">
        <f ca="1">COUNTIF(INDIRECT("Lifting!$A$1:$A$100"),INDIRECT(ADDRESS(B32+1,1,1,1,"Lifting")))+B32</f>
        <v>32</v>
      </c>
      <c r="C49" s="128"/>
      <c r="D49" s="129"/>
      <c r="E49" s="130" t="s">
        <v>319</v>
      </c>
      <c r="F49" s="130" t="s">
        <v>306</v>
      </c>
      <c r="G49" s="130" t="s">
        <v>307</v>
      </c>
      <c r="H49" s="130" t="str">
        <f ca="1">IF(IFERROR(SEARCH("PL",INDIRECT(CONCATENATE("Lifting!AE",B25))),0)&gt;0,"PL","")</f>
        <v>PL</v>
      </c>
      <c r="I49" s="130" t="s">
        <v>308</v>
      </c>
      <c r="J49" s="130" t="s">
        <v>317</v>
      </c>
    </row>
    <row r="50" spans="1:10" x14ac:dyDescent="0.2">
      <c r="A50" s="79" t="s">
        <v>184</v>
      </c>
      <c r="B50" s="129"/>
      <c r="C50" s="128"/>
      <c r="D50" s="129"/>
      <c r="E50" s="130" t="str">
        <f ca="1">CONCATENATE(Lists!B39,"-",J50)</f>
        <v>74-SQ</v>
      </c>
      <c r="F50" s="130" t="str">
        <f ca="1">IFERROR(IF(AND(SEARCH("BP",INDIRECT(CONCATENATE("Lifting!AE",B25))),LEFT(B23,2)="BP"),"BPO",""),"")</f>
        <v/>
      </c>
      <c r="G50" s="130" t="str">
        <f ca="1">IFERROR(IF(AND(SEARCH("DL",INDIRECT(CONCATENATE("Lifting!AE",B25))),LEFT(B23,2)="DL"),"DLO",""),"")</f>
        <v/>
      </c>
      <c r="H50" s="130" t="str">
        <f>LEFT(B23,2)</f>
        <v>SQ</v>
      </c>
      <c r="I50" s="130" t="str">
        <f ca="1">CONCATENATE(IF(MID(B40,2,1)="R","R-",""),VLOOKUP(INDIRECT(CONCATENATE("Lifting!AS",B25)),DATA!E35:F52,2,TRUE))</f>
        <v>M5b</v>
      </c>
      <c r="J50" s="130" t="str">
        <f ca="1">IF(IFERROR(SEARCH("PL",INDIRECT(CONCATENATE("Lifting!AE",B25))),0)+IFERROR(SEARCH("PP",INDIRECT(CONCATENATE("Lifting!AE",B25))),0)&gt;0,H50,CONCATENATE(F50,G50))</f>
        <v>SQ</v>
      </c>
    </row>
    <row r="51" spans="1:10" x14ac:dyDescent="0.2">
      <c r="A51" t="s">
        <v>198</v>
      </c>
      <c r="B51" s="128">
        <f ca="1">SUM(INDIRECT("Lifting!AM1:AM500"))</f>
        <v>20</v>
      </c>
      <c r="C51" s="128"/>
      <c r="D51" s="129"/>
      <c r="E51" s="131">
        <f ca="1">IFERROR(OFFSET(INDIRECT(B56),MATCH(E50,DATA!AF1:AF150,0)-1,I51-1),"")</f>
        <v>0</v>
      </c>
      <c r="F51" s="131">
        <f ca="1">IFERROR(OFFSET(INDIRECT(B56),MATCH(E50,DATA!AF1:AF150,0)-1,I53-1),"")</f>
        <v>327.5</v>
      </c>
      <c r="G51" s="130"/>
      <c r="H51" s="130"/>
      <c r="I51" s="132">
        <f ca="1">IFERROR(MATCH(I50,INDIRECT("'KG Records'!1:1"),0),"")</f>
        <v>19</v>
      </c>
      <c r="J51" s="130"/>
    </row>
    <row r="52" spans="1:10" x14ac:dyDescent="0.2">
      <c r="B52" s="129"/>
      <c r="C52" s="128"/>
      <c r="D52" s="129"/>
      <c r="E52" s="130" t="str">
        <f ca="1">CONCATENATE(Lists!B39,"-TL")</f>
        <v>74-TL</v>
      </c>
      <c r="F52" s="130"/>
      <c r="G52" s="130"/>
      <c r="H52" s="130"/>
      <c r="I52" s="130" t="str">
        <f ca="1">CONCATENATE(IF(LEFT(I50,1)="R","R-",""),"O")</f>
        <v>O</v>
      </c>
      <c r="J52" s="130"/>
    </row>
    <row r="53" spans="1:10" x14ac:dyDescent="0.2">
      <c r="B53" s="129"/>
      <c r="C53" s="128"/>
      <c r="D53" s="129"/>
      <c r="E53" s="131">
        <f ca="1">IFERROR(IF(H49="PL",OFFSET(INDIRECT(B56),MATCH(E52,DATA!AF1:AF150,0)-1,I51-1),""),"")</f>
        <v>0</v>
      </c>
      <c r="F53" s="131">
        <f ca="1">IFERROR(IF(H49="PL",OFFSET(INDIRECT(B56),MATCH(E52,DATA!AF1:AF150,0)-1,I53-1),""),"")</f>
        <v>820</v>
      </c>
      <c r="G53" s="130"/>
      <c r="H53" s="130"/>
      <c r="I53" s="132">
        <f ca="1">IFERROR(MATCH(I52,INDIRECT("'KG Records'!1:1"),0),"")</f>
        <v>9</v>
      </c>
      <c r="J53" s="130"/>
    </row>
    <row r="54" spans="1:10" x14ac:dyDescent="0.2">
      <c r="B54" s="129"/>
      <c r="C54" s="128"/>
      <c r="D54" s="129"/>
      <c r="E54" s="129"/>
      <c r="F54" s="129"/>
      <c r="G54" s="129"/>
      <c r="H54" s="129"/>
      <c r="I54" s="129"/>
      <c r="J54" s="129"/>
    </row>
    <row r="55" spans="1:10" x14ac:dyDescent="0.2">
      <c r="A55" t="s">
        <v>325</v>
      </c>
      <c r="B55" s="129" t="str">
        <f>Setup!G15</f>
        <v>Kg</v>
      </c>
      <c r="C55" s="128"/>
      <c r="D55" s="129"/>
      <c r="E55" s="129"/>
      <c r="F55" s="129"/>
      <c r="G55" s="129"/>
      <c r="H55" s="129"/>
      <c r="I55" s="129"/>
      <c r="J55" s="129"/>
    </row>
    <row r="56" spans="1:10" x14ac:dyDescent="0.2">
      <c r="B56" s="129" t="str">
        <f>IF(B55="Kg","'KG Records'!$A$1","'LB Records'!$A$1")</f>
        <v>'KG Records'!$A$1</v>
      </c>
      <c r="C56" s="128"/>
      <c r="D56" s="129"/>
      <c r="E56" s="129"/>
      <c r="F56" s="129"/>
      <c r="G56" s="129"/>
      <c r="H56" s="129"/>
      <c r="I56" s="129"/>
      <c r="J56" s="129"/>
    </row>
    <row r="57" spans="1:10" x14ac:dyDescent="0.2">
      <c r="B57" s="129" t="str">
        <f>IF(B55="Kg","'KG Records'!$A1:$AO1","'LB Records'!$A1:$AO1")</f>
        <v>'KG Records'!$A1:$AO1</v>
      </c>
      <c r="C57" s="128"/>
      <c r="D57" s="129"/>
      <c r="E57" s="129"/>
      <c r="F57" s="129"/>
      <c r="G57" s="129"/>
      <c r="H57" s="129"/>
      <c r="I57" s="129"/>
      <c r="J57" s="129"/>
    </row>
    <row r="58" spans="1:10" x14ac:dyDescent="0.2">
      <c r="B58" s="129" t="str">
        <f>IF(B55="Kg","'KG Records'!$A1:$A110","'LB Records'!$A1:$A110")</f>
        <v>'KG Records'!$A1:$A110</v>
      </c>
      <c r="C58" s="128"/>
      <c r="D58" s="129"/>
      <c r="E58" s="129"/>
      <c r="F58" s="129"/>
      <c r="G58" s="129"/>
      <c r="H58" s="129"/>
      <c r="I58" s="129"/>
      <c r="J58" s="129"/>
    </row>
    <row r="61" spans="1:10" x14ac:dyDescent="0.2">
      <c r="A61" t="s">
        <v>711</v>
      </c>
    </row>
    <row r="62" spans="1:10" x14ac:dyDescent="0.2">
      <c r="A62" t="s">
        <v>712</v>
      </c>
      <c r="B62">
        <f>Setup!B39</f>
        <v>0</v>
      </c>
      <c r="I62" t="str">
        <f ca="1">VLOOKUP(INDIRECT(CONCATENATE("Lifting!AS",B25)),DATA!E35:F52,2,TRUE)</f>
        <v>M5b</v>
      </c>
    </row>
    <row r="63" spans="1:10" x14ac:dyDescent="0.2">
      <c r="A63" t="s">
        <v>713</v>
      </c>
      <c r="B63">
        <f>Setup!E39</f>
        <v>0</v>
      </c>
    </row>
    <row r="64" spans="1:10" x14ac:dyDescent="0.2">
      <c r="A64" t="s">
        <v>714</v>
      </c>
      <c r="B64" s="1">
        <f ca="1">INDIRECT(CONCATENATE("Lifting!E",B25))</f>
        <v>66.900000000000006</v>
      </c>
      <c r="D64">
        <f ca="1">VLOOKUP(B64,INDIRECT(E64),IF(LEFT(B40,1)="M",2,3),TRUE)</f>
        <v>77</v>
      </c>
      <c r="E64" t="str">
        <f>IF(AND(B62="Kilograms",B63="High School Wt Classes"),"DATA!X2:Z22",IF(AND(B62="Pounds",B63="High School Wt Classes"),"DATA!R2:T22",IF(AND(B62="Kilograms",B63="IPF Wt Classes"),"DATA!X2:Z22","DATA!R2:T22")))</f>
        <v>DATA!R2:T22</v>
      </c>
    </row>
    <row r="67" spans="1:2" x14ac:dyDescent="0.2">
      <c r="A67" t="s">
        <v>792</v>
      </c>
      <c r="B67" s="71">
        <f>COUNTA(ContestResults!#REF!)+1</f>
        <v>2</v>
      </c>
    </row>
  </sheetData>
  <phoneticPr fontId="72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S155"/>
  <sheetViews>
    <sheetView workbookViewId="0">
      <selection activeCell="H9" sqref="H9"/>
    </sheetView>
  </sheetViews>
  <sheetFormatPr defaultColWidth="9.28515625" defaultRowHeight="12.75" x14ac:dyDescent="0.2"/>
  <cols>
    <col min="1" max="7" width="9.28515625" style="1"/>
    <col min="8" max="8" width="8.7109375"/>
    <col min="9" max="11" width="9.28515625" style="1"/>
    <col min="12" max="12" width="25.28515625" style="1" customWidth="1"/>
    <col min="13" max="20" width="9.28515625" style="1"/>
    <col min="21" max="21" width="8.7109375" style="1" customWidth="1"/>
    <col min="22" max="23" width="9.28515625" style="1"/>
    <col min="24" max="24" width="8.7109375" style="1" customWidth="1"/>
    <col min="25" max="31" width="9.28515625" style="1"/>
    <col min="32" max="32" width="9.28515625" style="46"/>
    <col min="33" max="37" width="9.28515625" style="1"/>
    <col min="38" max="38" width="18.28515625" style="1" customWidth="1"/>
    <col min="39" max="39" width="4.7109375" style="1" customWidth="1"/>
    <col min="40" max="41" width="9.28515625" style="1"/>
    <col min="42" max="42" width="18.28515625" style="1" customWidth="1"/>
    <col min="43" max="43" width="4.7109375" style="1" customWidth="1"/>
    <col min="44" max="44" width="9.28515625" style="1"/>
    <col min="46" max="16384" width="9.28515625" style="1"/>
  </cols>
  <sheetData>
    <row r="1" spans="1:43" s="33" customFormat="1" ht="25.5" customHeight="1" x14ac:dyDescent="0.2">
      <c r="A1" s="33" t="s">
        <v>48</v>
      </c>
      <c r="B1" s="33" t="s">
        <v>49</v>
      </c>
      <c r="E1" s="33" t="s">
        <v>51</v>
      </c>
      <c r="F1" s="33" t="s">
        <v>93</v>
      </c>
      <c r="G1" s="33" t="s">
        <v>94</v>
      </c>
      <c r="I1" s="33" t="s">
        <v>84</v>
      </c>
      <c r="J1" s="33" t="s">
        <v>83</v>
      </c>
      <c r="L1" s="1" t="s">
        <v>469</v>
      </c>
      <c r="M1" s="1" t="s">
        <v>793</v>
      </c>
      <c r="O1" s="45" t="s">
        <v>98</v>
      </c>
      <c r="P1" s="45" t="s">
        <v>788</v>
      </c>
      <c r="Q1" s="45" t="s">
        <v>789</v>
      </c>
      <c r="R1" s="33" t="s">
        <v>98</v>
      </c>
      <c r="S1" s="33" t="s">
        <v>91</v>
      </c>
      <c r="T1" s="33" t="s">
        <v>92</v>
      </c>
      <c r="U1" s="33" t="s">
        <v>51</v>
      </c>
      <c r="V1" s="33" t="s">
        <v>790</v>
      </c>
      <c r="W1" s="33" t="s">
        <v>791</v>
      </c>
      <c r="X1" s="33" t="s">
        <v>51</v>
      </c>
      <c r="Y1" s="33" t="s">
        <v>93</v>
      </c>
      <c r="Z1" s="33" t="s">
        <v>94</v>
      </c>
      <c r="AB1" s="33" t="s">
        <v>90</v>
      </c>
      <c r="AC1" s="33" t="s">
        <v>89</v>
      </c>
      <c r="AD1" s="33" t="s">
        <v>90</v>
      </c>
      <c r="AF1" s="45"/>
      <c r="AK1" s="407" t="s">
        <v>658</v>
      </c>
      <c r="AL1" s="407"/>
      <c r="AM1" s="407"/>
      <c r="AO1" s="407" t="s">
        <v>659</v>
      </c>
      <c r="AP1" s="407"/>
      <c r="AQ1" s="407"/>
    </row>
    <row r="2" spans="1:43" ht="12.75" customHeight="1" x14ac:dyDescent="0.25">
      <c r="A2" s="1">
        <v>14</v>
      </c>
      <c r="B2" s="1">
        <v>1.23</v>
      </c>
      <c r="C2" s="1" t="s">
        <v>81</v>
      </c>
      <c r="E2" s="1">
        <v>10</v>
      </c>
      <c r="F2" s="1">
        <v>53</v>
      </c>
      <c r="G2" s="1">
        <v>43</v>
      </c>
      <c r="I2" s="1">
        <v>43</v>
      </c>
      <c r="J2" s="1">
        <v>1</v>
      </c>
      <c r="L2" s="1" t="s">
        <v>470</v>
      </c>
      <c r="M2" s="1" t="s">
        <v>471</v>
      </c>
      <c r="O2" s="1">
        <v>88.186204599999996</v>
      </c>
      <c r="P2" s="1">
        <v>114</v>
      </c>
      <c r="Q2" s="1">
        <v>97</v>
      </c>
      <c r="R2" s="1">
        <v>22.045999999999999</v>
      </c>
      <c r="S2" s="1">
        <v>66</v>
      </c>
      <c r="T2" s="1">
        <v>66</v>
      </c>
      <c r="U2" s="1">
        <v>10</v>
      </c>
      <c r="V2" s="1">
        <v>52</v>
      </c>
      <c r="W2" s="1">
        <v>44</v>
      </c>
      <c r="X2" s="1">
        <v>10</v>
      </c>
      <c r="Y2" s="1">
        <v>30</v>
      </c>
      <c r="Z2" s="1">
        <v>30</v>
      </c>
      <c r="AB2" s="1">
        <v>30</v>
      </c>
      <c r="AC2" s="1">
        <v>66</v>
      </c>
      <c r="AD2" s="1">
        <v>30</v>
      </c>
      <c r="AF2" s="46" t="s">
        <v>680</v>
      </c>
      <c r="AG2" s="1" t="s">
        <v>680</v>
      </c>
      <c r="AH2" s="1" t="s">
        <v>211</v>
      </c>
      <c r="AK2" s="126" t="s">
        <v>596</v>
      </c>
      <c r="AL2" s="1" t="s">
        <v>719</v>
      </c>
      <c r="AM2" s="1">
        <v>1</v>
      </c>
      <c r="AO2" s="127" t="s">
        <v>855</v>
      </c>
      <c r="AP2" s="1" t="s">
        <v>856</v>
      </c>
      <c r="AQ2" s="1">
        <v>1</v>
      </c>
    </row>
    <row r="3" spans="1:43" ht="15" x14ac:dyDescent="0.25">
      <c r="A3" s="1">
        <v>15</v>
      </c>
      <c r="B3" s="1">
        <v>1.18</v>
      </c>
      <c r="E3" s="1">
        <v>30.001000000000001</v>
      </c>
      <c r="F3" s="1">
        <v>53</v>
      </c>
      <c r="G3" s="1">
        <v>43</v>
      </c>
      <c r="I3" s="1">
        <v>44</v>
      </c>
      <c r="J3" s="1">
        <v>2</v>
      </c>
      <c r="L3" s="1" t="s">
        <v>472</v>
      </c>
      <c r="M3" s="1" t="s">
        <v>473</v>
      </c>
      <c r="O3" s="1">
        <v>97.004604599999993</v>
      </c>
      <c r="P3" s="1">
        <v>114</v>
      </c>
      <c r="Q3" s="1">
        <v>105</v>
      </c>
      <c r="R3" s="1">
        <v>66.140204600000004</v>
      </c>
      <c r="S3" s="1">
        <v>77</v>
      </c>
      <c r="T3" s="1">
        <v>77</v>
      </c>
      <c r="U3" s="1">
        <v>44.000999999999998</v>
      </c>
      <c r="V3" s="1">
        <v>52</v>
      </c>
      <c r="W3" s="1">
        <v>48</v>
      </c>
      <c r="X3" s="1">
        <v>30.001000000000001</v>
      </c>
      <c r="Y3" s="1">
        <v>35</v>
      </c>
      <c r="Z3" s="1">
        <v>35</v>
      </c>
      <c r="AB3" s="1">
        <v>35</v>
      </c>
      <c r="AC3" s="1">
        <v>77</v>
      </c>
      <c r="AD3" s="1">
        <v>35</v>
      </c>
      <c r="AF3" s="46" t="s">
        <v>679</v>
      </c>
      <c r="AG3" s="1" t="s">
        <v>679</v>
      </c>
      <c r="AH3" s="1" t="s">
        <v>212</v>
      </c>
      <c r="AK3" s="126" t="s">
        <v>597</v>
      </c>
      <c r="AL3" s="1" t="s">
        <v>720</v>
      </c>
      <c r="AM3" s="1">
        <v>1</v>
      </c>
      <c r="AO3" s="127" t="s">
        <v>857</v>
      </c>
      <c r="AP3" s="1" t="s">
        <v>858</v>
      </c>
      <c r="AQ3" s="1">
        <v>1</v>
      </c>
    </row>
    <row r="4" spans="1:43" ht="15" x14ac:dyDescent="0.25">
      <c r="A4" s="1">
        <v>16</v>
      </c>
      <c r="B4" s="1">
        <v>1.1299999999999999</v>
      </c>
      <c r="E4" s="1">
        <v>35.000999999999998</v>
      </c>
      <c r="F4" s="1">
        <v>53</v>
      </c>
      <c r="G4" s="1">
        <v>43</v>
      </c>
      <c r="I4" s="1">
        <v>47</v>
      </c>
      <c r="J4" s="1">
        <v>3</v>
      </c>
      <c r="L4" s="1" t="s">
        <v>474</v>
      </c>
      <c r="M4" s="1" t="s">
        <v>475</v>
      </c>
      <c r="O4" s="1">
        <v>105.8230046</v>
      </c>
      <c r="P4" s="1">
        <v>114</v>
      </c>
      <c r="Q4" s="1">
        <v>114</v>
      </c>
      <c r="R4" s="1">
        <v>77.1632046</v>
      </c>
      <c r="S4" s="1">
        <v>88</v>
      </c>
      <c r="T4" s="1">
        <v>88</v>
      </c>
      <c r="U4" s="1">
        <v>48.000999999999998</v>
      </c>
      <c r="V4" s="1">
        <v>52</v>
      </c>
      <c r="W4" s="1">
        <v>52</v>
      </c>
      <c r="X4" s="1">
        <v>35.000999999999998</v>
      </c>
      <c r="Y4" s="1">
        <v>40</v>
      </c>
      <c r="Z4" s="1">
        <v>40</v>
      </c>
      <c r="AB4" s="1">
        <v>40</v>
      </c>
      <c r="AC4" s="1">
        <v>88</v>
      </c>
      <c r="AD4" s="1">
        <v>40</v>
      </c>
      <c r="AF4" s="46" t="s">
        <v>678</v>
      </c>
      <c r="AG4" s="1" t="s">
        <v>678</v>
      </c>
      <c r="AH4" s="1" t="s">
        <v>213</v>
      </c>
      <c r="AK4" s="126" t="s">
        <v>598</v>
      </c>
      <c r="AL4" s="1" t="s">
        <v>721</v>
      </c>
      <c r="AM4" s="1">
        <v>1</v>
      </c>
      <c r="AO4" s="127" t="s">
        <v>20</v>
      </c>
      <c r="AP4" s="1" t="s">
        <v>770</v>
      </c>
      <c r="AQ4" s="1">
        <v>1</v>
      </c>
    </row>
    <row r="5" spans="1:43" ht="15" x14ac:dyDescent="0.25">
      <c r="A5" s="1">
        <v>17</v>
      </c>
      <c r="B5" s="1">
        <v>1.08</v>
      </c>
      <c r="E5" s="1">
        <v>40.000999999999998</v>
      </c>
      <c r="F5" s="1">
        <v>53</v>
      </c>
      <c r="G5" s="1">
        <v>43</v>
      </c>
      <c r="I5" s="1">
        <v>48</v>
      </c>
      <c r="J5" s="1">
        <v>4</v>
      </c>
      <c r="L5" s="1" t="s">
        <v>476</v>
      </c>
      <c r="M5" s="1" t="s">
        <v>477</v>
      </c>
      <c r="O5" s="1">
        <v>114.6414046</v>
      </c>
      <c r="P5" s="1">
        <v>123</v>
      </c>
      <c r="Q5" s="1">
        <v>123</v>
      </c>
      <c r="R5" s="1">
        <v>88.186204599999996</v>
      </c>
      <c r="S5" s="1">
        <v>97</v>
      </c>
      <c r="T5" s="1">
        <v>94</v>
      </c>
      <c r="U5" s="1">
        <v>52.000999999999998</v>
      </c>
      <c r="V5" s="1">
        <v>56</v>
      </c>
      <c r="W5" s="1">
        <v>56</v>
      </c>
      <c r="X5" s="1">
        <v>40.000999999999998</v>
      </c>
      <c r="Y5" s="1">
        <v>44</v>
      </c>
      <c r="Z5" s="1">
        <v>43</v>
      </c>
      <c r="AB5" s="1">
        <v>43</v>
      </c>
      <c r="AC5" s="1">
        <v>94</v>
      </c>
      <c r="AD5" s="1">
        <v>43</v>
      </c>
      <c r="AF5" s="46" t="s">
        <v>677</v>
      </c>
      <c r="AG5" s="1" t="s">
        <v>677</v>
      </c>
      <c r="AH5" s="1" t="s">
        <v>214</v>
      </c>
      <c r="AK5" s="126" t="s">
        <v>599</v>
      </c>
      <c r="AL5" s="1" t="s">
        <v>722</v>
      </c>
      <c r="AM5" s="1">
        <v>1</v>
      </c>
      <c r="AO5" s="127" t="s">
        <v>859</v>
      </c>
      <c r="AP5" s="1" t="s">
        <v>860</v>
      </c>
      <c r="AQ5" s="1">
        <v>1</v>
      </c>
    </row>
    <row r="6" spans="1:43" ht="15" x14ac:dyDescent="0.25">
      <c r="A6" s="1">
        <v>18</v>
      </c>
      <c r="B6" s="1">
        <v>1.06</v>
      </c>
      <c r="E6" s="1">
        <v>43.000999999999998</v>
      </c>
      <c r="F6" s="1">
        <v>53</v>
      </c>
      <c r="G6" s="1">
        <v>47</v>
      </c>
      <c r="I6" s="1">
        <v>52</v>
      </c>
      <c r="J6" s="1">
        <v>5</v>
      </c>
      <c r="L6" s="1" t="s">
        <v>478</v>
      </c>
      <c r="M6" s="1" t="s">
        <v>479</v>
      </c>
      <c r="O6" s="1">
        <v>123.4598046</v>
      </c>
      <c r="P6" s="1">
        <v>132</v>
      </c>
      <c r="Q6" s="1">
        <v>132</v>
      </c>
      <c r="R6" s="1">
        <v>94.800004599999994</v>
      </c>
      <c r="S6" s="1">
        <v>97</v>
      </c>
      <c r="T6" s="1">
        <v>103</v>
      </c>
      <c r="U6" s="1">
        <v>56.000999999999998</v>
      </c>
      <c r="V6" s="1">
        <v>60</v>
      </c>
      <c r="W6" s="1">
        <v>60</v>
      </c>
      <c r="X6" s="1">
        <v>43.000999999999998</v>
      </c>
      <c r="Y6" s="1">
        <v>44</v>
      </c>
      <c r="Z6" s="1">
        <v>47</v>
      </c>
      <c r="AB6" s="1">
        <v>44</v>
      </c>
      <c r="AC6" s="1">
        <v>97</v>
      </c>
      <c r="AD6" s="1">
        <v>44</v>
      </c>
      <c r="AF6" s="46" t="s">
        <v>676</v>
      </c>
      <c r="AG6" s="1" t="s">
        <v>676</v>
      </c>
      <c r="AH6" s="1" t="s">
        <v>704</v>
      </c>
      <c r="AK6" s="126" t="s">
        <v>600</v>
      </c>
      <c r="AL6" s="1" t="s">
        <v>723</v>
      </c>
      <c r="AM6" s="1">
        <v>1</v>
      </c>
      <c r="AO6" s="127" t="s">
        <v>861</v>
      </c>
      <c r="AP6" s="1" t="s">
        <v>862</v>
      </c>
      <c r="AQ6" s="1">
        <v>1</v>
      </c>
    </row>
    <row r="7" spans="1:43" ht="15" x14ac:dyDescent="0.25">
      <c r="A7" s="1">
        <v>19</v>
      </c>
      <c r="B7" s="1">
        <v>1.04</v>
      </c>
      <c r="E7" s="1">
        <v>44.000999999999998</v>
      </c>
      <c r="F7" s="1">
        <v>53</v>
      </c>
      <c r="G7" s="1">
        <v>47</v>
      </c>
      <c r="I7" s="1">
        <v>53</v>
      </c>
      <c r="J7" s="1">
        <v>6</v>
      </c>
      <c r="L7" s="1" t="s">
        <v>480</v>
      </c>
      <c r="M7" s="1" t="s">
        <v>481</v>
      </c>
      <c r="O7" s="1">
        <v>132.27820460000001</v>
      </c>
      <c r="P7" s="1">
        <v>148</v>
      </c>
      <c r="Q7" s="1">
        <v>148</v>
      </c>
      <c r="R7" s="1">
        <v>97.004604599999993</v>
      </c>
      <c r="S7" s="1">
        <v>105</v>
      </c>
      <c r="T7" s="1">
        <v>103</v>
      </c>
      <c r="U7" s="1">
        <v>60.000999999999998</v>
      </c>
      <c r="V7" s="1">
        <v>67.5</v>
      </c>
      <c r="W7" s="1">
        <v>67.5</v>
      </c>
      <c r="X7" s="1">
        <v>44.000999999999998</v>
      </c>
      <c r="Y7" s="1">
        <v>48</v>
      </c>
      <c r="Z7" s="1">
        <v>47</v>
      </c>
      <c r="AB7" s="1">
        <v>47</v>
      </c>
      <c r="AC7" s="1">
        <v>103</v>
      </c>
      <c r="AD7" s="1">
        <v>47</v>
      </c>
      <c r="AF7" s="46" t="s">
        <v>675</v>
      </c>
      <c r="AG7" s="1" t="s">
        <v>675</v>
      </c>
      <c r="AH7" s="1" t="s">
        <v>703</v>
      </c>
      <c r="AK7" s="126" t="s">
        <v>591</v>
      </c>
      <c r="AL7" s="1" t="s">
        <v>724</v>
      </c>
      <c r="AM7" s="1">
        <v>1</v>
      </c>
      <c r="AO7" s="127" t="s">
        <v>863</v>
      </c>
      <c r="AP7" s="1" t="s">
        <v>864</v>
      </c>
      <c r="AQ7" s="1">
        <v>1</v>
      </c>
    </row>
    <row r="8" spans="1:43" ht="15" x14ac:dyDescent="0.25">
      <c r="A8" s="1">
        <v>20</v>
      </c>
      <c r="B8" s="1">
        <v>1.03</v>
      </c>
      <c r="E8" s="1">
        <v>47.000999999999998</v>
      </c>
      <c r="F8" s="1">
        <v>53</v>
      </c>
      <c r="G8" s="1">
        <v>52</v>
      </c>
      <c r="I8" s="1">
        <v>56</v>
      </c>
      <c r="J8" s="1">
        <v>7</v>
      </c>
      <c r="L8" s="1" t="s">
        <v>482</v>
      </c>
      <c r="M8" s="1" t="s">
        <v>483</v>
      </c>
      <c r="O8" s="1">
        <v>148.81270460000002</v>
      </c>
      <c r="P8" s="1">
        <v>165</v>
      </c>
      <c r="Q8" s="1">
        <v>165</v>
      </c>
      <c r="R8" s="1">
        <v>103.61840460000001</v>
      </c>
      <c r="S8" s="1">
        <v>105</v>
      </c>
      <c r="T8" s="1">
        <v>114</v>
      </c>
      <c r="U8" s="1">
        <v>67.501000000000005</v>
      </c>
      <c r="V8" s="1">
        <v>75</v>
      </c>
      <c r="W8" s="1">
        <v>75</v>
      </c>
      <c r="X8" s="1">
        <v>47.000999999999998</v>
      </c>
      <c r="Y8" s="1">
        <v>48</v>
      </c>
      <c r="Z8" s="1">
        <v>52</v>
      </c>
      <c r="AB8" s="1">
        <v>48</v>
      </c>
      <c r="AC8" s="1">
        <v>105</v>
      </c>
      <c r="AD8" s="1">
        <v>48</v>
      </c>
      <c r="AF8" s="46" t="s">
        <v>674</v>
      </c>
      <c r="AG8" s="1" t="s">
        <v>674</v>
      </c>
      <c r="AH8" s="1" t="s">
        <v>702</v>
      </c>
      <c r="AK8" s="126" t="s">
        <v>601</v>
      </c>
      <c r="AL8" s="1" t="s">
        <v>725</v>
      </c>
      <c r="AM8" s="1">
        <v>1</v>
      </c>
      <c r="AO8" s="127" t="s">
        <v>865</v>
      </c>
      <c r="AP8" s="1" t="s">
        <v>866</v>
      </c>
      <c r="AQ8" s="1">
        <v>1</v>
      </c>
    </row>
    <row r="9" spans="1:43" ht="15" x14ac:dyDescent="0.25">
      <c r="A9" s="1">
        <v>21</v>
      </c>
      <c r="B9" s="1">
        <v>1.02</v>
      </c>
      <c r="E9" s="1">
        <v>48.000999999999998</v>
      </c>
      <c r="F9" s="1">
        <v>53</v>
      </c>
      <c r="G9" s="1">
        <v>52</v>
      </c>
      <c r="I9" s="1">
        <v>57</v>
      </c>
      <c r="J9" s="1">
        <v>8</v>
      </c>
      <c r="L9" s="1" t="s">
        <v>484</v>
      </c>
      <c r="M9" s="1" t="s">
        <v>485</v>
      </c>
      <c r="O9" s="1">
        <v>165.34720460000003</v>
      </c>
      <c r="P9" s="1">
        <v>181</v>
      </c>
      <c r="Q9" s="1">
        <v>181</v>
      </c>
      <c r="R9" s="1">
        <v>105.8230046</v>
      </c>
      <c r="S9" s="1">
        <v>116</v>
      </c>
      <c r="T9" s="1">
        <v>114</v>
      </c>
      <c r="U9" s="1">
        <v>75.001000000000005</v>
      </c>
      <c r="V9" s="1">
        <v>82.5</v>
      </c>
      <c r="W9" s="1">
        <v>82.5</v>
      </c>
      <c r="X9" s="1">
        <v>48.000999999999998</v>
      </c>
      <c r="Y9" s="1">
        <v>53</v>
      </c>
      <c r="Z9" s="1">
        <v>52</v>
      </c>
      <c r="AB9" s="1">
        <v>52</v>
      </c>
      <c r="AC9" s="1">
        <v>114</v>
      </c>
      <c r="AD9" s="1">
        <v>52</v>
      </c>
      <c r="AF9" s="46" t="s">
        <v>673</v>
      </c>
      <c r="AG9" s="1" t="s">
        <v>673</v>
      </c>
      <c r="AH9" s="1" t="s">
        <v>701</v>
      </c>
      <c r="AK9" s="126" t="s">
        <v>20</v>
      </c>
      <c r="AL9" s="1" t="s">
        <v>770</v>
      </c>
      <c r="AM9" s="1">
        <v>1</v>
      </c>
      <c r="AO9" s="126" t="s">
        <v>867</v>
      </c>
      <c r="AP9" s="1" t="s">
        <v>868</v>
      </c>
      <c r="AQ9" s="1">
        <v>1</v>
      </c>
    </row>
    <row r="10" spans="1:43" ht="15" x14ac:dyDescent="0.25">
      <c r="A10" s="1">
        <v>22</v>
      </c>
      <c r="B10" s="1">
        <v>1.01</v>
      </c>
      <c r="E10" s="1">
        <v>52.000999999999998</v>
      </c>
      <c r="F10" s="1">
        <v>53</v>
      </c>
      <c r="G10" s="1">
        <v>57</v>
      </c>
      <c r="I10" s="1">
        <v>59</v>
      </c>
      <c r="J10" s="1">
        <v>9</v>
      </c>
      <c r="L10" s="1" t="s">
        <v>486</v>
      </c>
      <c r="M10" s="1" t="s">
        <v>487</v>
      </c>
      <c r="O10" s="1">
        <v>181.88170460000001</v>
      </c>
      <c r="P10" s="1">
        <v>198</v>
      </c>
      <c r="Q10" s="1">
        <v>198</v>
      </c>
      <c r="R10" s="1">
        <v>114.6414046</v>
      </c>
      <c r="S10" s="1">
        <v>116</v>
      </c>
      <c r="T10" s="1">
        <v>125</v>
      </c>
      <c r="U10" s="1">
        <v>82.501000000000005</v>
      </c>
      <c r="V10" s="1">
        <v>90</v>
      </c>
      <c r="W10" s="1">
        <v>90</v>
      </c>
      <c r="X10" s="1">
        <v>52.000999999999998</v>
      </c>
      <c r="Y10" s="1">
        <v>53</v>
      </c>
      <c r="Z10" s="1">
        <v>57</v>
      </c>
      <c r="AB10" s="1">
        <v>53</v>
      </c>
      <c r="AC10" s="1">
        <v>116</v>
      </c>
      <c r="AD10" s="1">
        <v>53</v>
      </c>
      <c r="AF10" s="46" t="s">
        <v>672</v>
      </c>
      <c r="AG10" s="1" t="s">
        <v>672</v>
      </c>
      <c r="AH10" s="1" t="s">
        <v>700</v>
      </c>
      <c r="AK10" s="126" t="s">
        <v>592</v>
      </c>
      <c r="AL10" s="1" t="s">
        <v>726</v>
      </c>
      <c r="AM10" s="1">
        <v>1</v>
      </c>
      <c r="AO10" s="126" t="s">
        <v>869</v>
      </c>
      <c r="AP10" s="1" t="s">
        <v>870</v>
      </c>
      <c r="AQ10" s="1">
        <v>1</v>
      </c>
    </row>
    <row r="11" spans="1:43" ht="15" x14ac:dyDescent="0.25">
      <c r="A11" s="1">
        <v>23</v>
      </c>
      <c r="B11" s="1">
        <v>1</v>
      </c>
      <c r="E11" s="1">
        <v>53.000999999999998</v>
      </c>
      <c r="F11" s="1">
        <v>59</v>
      </c>
      <c r="G11" s="1">
        <v>57</v>
      </c>
      <c r="I11" s="1">
        <v>60</v>
      </c>
      <c r="J11" s="1">
        <v>10</v>
      </c>
      <c r="L11" s="1" t="s">
        <v>488</v>
      </c>
      <c r="M11" s="1" t="s">
        <v>489</v>
      </c>
      <c r="O11" s="1">
        <v>198.41620460000001</v>
      </c>
      <c r="P11" s="1">
        <v>220</v>
      </c>
      <c r="Q11" s="1" t="s">
        <v>85</v>
      </c>
      <c r="R11" s="1">
        <v>116.8460046</v>
      </c>
      <c r="S11" s="1">
        <v>130</v>
      </c>
      <c r="T11" s="1">
        <v>125</v>
      </c>
      <c r="U11" s="1">
        <v>90.001000000000005</v>
      </c>
      <c r="V11" s="1">
        <v>100</v>
      </c>
      <c r="W11" s="1" t="s">
        <v>47</v>
      </c>
      <c r="X11" s="1">
        <v>53.000999999999998</v>
      </c>
      <c r="Y11" s="1">
        <v>59</v>
      </c>
      <c r="Z11" s="1">
        <v>57</v>
      </c>
      <c r="AB11" s="1">
        <v>56</v>
      </c>
      <c r="AC11" s="1">
        <v>123</v>
      </c>
      <c r="AD11" s="1">
        <v>56</v>
      </c>
      <c r="AF11" s="46" t="s">
        <v>671</v>
      </c>
      <c r="AG11" s="1" t="s">
        <v>671</v>
      </c>
      <c r="AH11" s="1" t="s">
        <v>699</v>
      </c>
      <c r="AK11" s="126" t="s">
        <v>593</v>
      </c>
      <c r="AL11" s="1" t="s">
        <v>727</v>
      </c>
      <c r="AM11" s="1">
        <v>1</v>
      </c>
      <c r="AO11" s="126" t="s">
        <v>24</v>
      </c>
      <c r="AP11" s="1" t="s">
        <v>771</v>
      </c>
      <c r="AQ11" s="1">
        <v>1</v>
      </c>
    </row>
    <row r="12" spans="1:43" ht="15" x14ac:dyDescent="0.25">
      <c r="A12" s="1">
        <v>30</v>
      </c>
      <c r="B12" s="1">
        <v>1</v>
      </c>
      <c r="E12" s="1">
        <v>57.000999999999998</v>
      </c>
      <c r="F12" s="1">
        <v>59</v>
      </c>
      <c r="G12" s="1">
        <v>63</v>
      </c>
      <c r="I12" s="1">
        <v>63</v>
      </c>
      <c r="J12" s="1">
        <v>11</v>
      </c>
      <c r="L12" s="1" t="s">
        <v>490</v>
      </c>
      <c r="M12" s="1" t="s">
        <v>491</v>
      </c>
      <c r="O12" s="1">
        <v>220.46220460000004</v>
      </c>
      <c r="P12" s="1">
        <v>242</v>
      </c>
      <c r="Q12" s="1" t="s">
        <v>85</v>
      </c>
      <c r="R12" s="1">
        <v>125.6644046</v>
      </c>
      <c r="S12" s="1">
        <v>130</v>
      </c>
      <c r="T12" s="1">
        <v>138</v>
      </c>
      <c r="U12" s="1">
        <v>100.001</v>
      </c>
      <c r="V12" s="1">
        <v>110</v>
      </c>
      <c r="W12" s="1" t="s">
        <v>47</v>
      </c>
      <c r="X12" s="1">
        <v>57.000999999999998</v>
      </c>
      <c r="Y12" s="1">
        <v>59</v>
      </c>
      <c r="Z12" s="1">
        <v>63</v>
      </c>
      <c r="AB12" s="1">
        <v>57</v>
      </c>
      <c r="AC12" s="1">
        <v>125</v>
      </c>
      <c r="AD12" s="1">
        <v>57</v>
      </c>
      <c r="AF12" s="46" t="s">
        <v>670</v>
      </c>
      <c r="AG12" s="1" t="s">
        <v>670</v>
      </c>
      <c r="AH12" s="1" t="s">
        <v>698</v>
      </c>
      <c r="AK12" s="126" t="s">
        <v>595</v>
      </c>
      <c r="AL12" s="1" t="s">
        <v>728</v>
      </c>
      <c r="AM12" s="1">
        <v>1</v>
      </c>
      <c r="AO12" s="126" t="s">
        <v>871</v>
      </c>
      <c r="AP12" s="1" t="s">
        <v>872</v>
      </c>
      <c r="AQ12" s="1">
        <v>1</v>
      </c>
    </row>
    <row r="13" spans="1:43" ht="12.75" customHeight="1" x14ac:dyDescent="0.25">
      <c r="A13" s="1">
        <v>40</v>
      </c>
      <c r="B13" s="1">
        <v>1</v>
      </c>
      <c r="C13" s="1" t="s">
        <v>82</v>
      </c>
      <c r="E13" s="1">
        <v>59.000999999999998</v>
      </c>
      <c r="F13" s="1">
        <v>66</v>
      </c>
      <c r="G13" s="1">
        <v>63</v>
      </c>
      <c r="I13" s="1">
        <v>66</v>
      </c>
      <c r="J13" s="1">
        <v>12</v>
      </c>
      <c r="L13" s="1" t="s">
        <v>492</v>
      </c>
      <c r="M13" s="1" t="s">
        <v>493</v>
      </c>
      <c r="O13" s="1">
        <v>242.50820460000003</v>
      </c>
      <c r="P13" s="1">
        <v>275</v>
      </c>
      <c r="Q13" s="1" t="s">
        <v>85</v>
      </c>
      <c r="R13" s="1">
        <v>130.07360460000001</v>
      </c>
      <c r="S13" s="1">
        <v>130</v>
      </c>
      <c r="T13" s="1">
        <v>138</v>
      </c>
      <c r="U13" s="1">
        <v>110.001</v>
      </c>
      <c r="V13" s="1">
        <v>125</v>
      </c>
      <c r="W13" s="1" t="s">
        <v>47</v>
      </c>
      <c r="X13" s="1">
        <v>59.000999999999998</v>
      </c>
      <c r="Y13" s="1">
        <v>66</v>
      </c>
      <c r="Z13" s="1">
        <v>63</v>
      </c>
      <c r="AB13" s="1">
        <v>59</v>
      </c>
      <c r="AC13" s="1">
        <v>130</v>
      </c>
      <c r="AD13" s="1">
        <v>59</v>
      </c>
      <c r="AF13" s="46" t="s">
        <v>669</v>
      </c>
      <c r="AG13" s="1" t="s">
        <v>669</v>
      </c>
      <c r="AH13" s="1" t="s">
        <v>697</v>
      </c>
      <c r="AK13" s="126" t="s">
        <v>602</v>
      </c>
      <c r="AL13" s="1" t="s">
        <v>729</v>
      </c>
      <c r="AM13" s="1">
        <v>1</v>
      </c>
      <c r="AO13" s="126" t="s">
        <v>873</v>
      </c>
      <c r="AP13" s="1" t="s">
        <v>874</v>
      </c>
      <c r="AQ13" s="1">
        <v>1</v>
      </c>
    </row>
    <row r="14" spans="1:43" ht="15" x14ac:dyDescent="0.25">
      <c r="A14" s="1">
        <v>41</v>
      </c>
      <c r="B14" s="1">
        <v>1.01</v>
      </c>
      <c r="E14" s="1">
        <v>63.000999999999998</v>
      </c>
      <c r="F14" s="1">
        <v>66</v>
      </c>
      <c r="G14" s="1">
        <v>72</v>
      </c>
      <c r="I14" s="1">
        <v>67.5</v>
      </c>
      <c r="J14" s="1">
        <v>13</v>
      </c>
      <c r="L14" s="1" t="s">
        <v>494</v>
      </c>
      <c r="M14" s="1" t="s">
        <v>495</v>
      </c>
      <c r="O14" s="1">
        <v>275.57720460000002</v>
      </c>
      <c r="P14" s="1" t="s">
        <v>86</v>
      </c>
      <c r="Q14" s="1" t="s">
        <v>85</v>
      </c>
      <c r="R14" s="1">
        <v>138.89200460000001</v>
      </c>
      <c r="S14" s="1">
        <v>145</v>
      </c>
      <c r="T14" s="1">
        <v>158</v>
      </c>
      <c r="U14" s="1">
        <v>125.001</v>
      </c>
      <c r="V14" s="1" t="s">
        <v>46</v>
      </c>
      <c r="W14" s="1" t="s">
        <v>47</v>
      </c>
      <c r="X14" s="1">
        <v>63.000999999999998</v>
      </c>
      <c r="Y14" s="1">
        <v>66</v>
      </c>
      <c r="Z14" s="1">
        <v>72</v>
      </c>
      <c r="AB14" s="1">
        <v>60</v>
      </c>
      <c r="AC14" s="1">
        <v>132</v>
      </c>
      <c r="AD14" s="1">
        <v>60</v>
      </c>
      <c r="AF14" s="46" t="s">
        <v>692</v>
      </c>
      <c r="AG14" s="1" t="s">
        <v>692</v>
      </c>
      <c r="AH14" s="1" t="s">
        <v>710</v>
      </c>
      <c r="AK14" s="126" t="s">
        <v>603</v>
      </c>
      <c r="AL14" s="1" t="s">
        <v>730</v>
      </c>
      <c r="AM14" s="1">
        <v>1</v>
      </c>
      <c r="AO14" s="126" t="s">
        <v>875</v>
      </c>
      <c r="AP14" s="1" t="s">
        <v>876</v>
      </c>
      <c r="AQ14" s="1">
        <v>1</v>
      </c>
    </row>
    <row r="15" spans="1:43" ht="15" x14ac:dyDescent="0.25">
      <c r="A15" s="1">
        <v>42</v>
      </c>
      <c r="B15" s="1">
        <v>1.02</v>
      </c>
      <c r="E15" s="1">
        <v>66.001000000000005</v>
      </c>
      <c r="F15" s="1">
        <v>74</v>
      </c>
      <c r="G15" s="1">
        <v>72</v>
      </c>
      <c r="I15" s="1">
        <v>72</v>
      </c>
      <c r="J15" s="1">
        <v>14</v>
      </c>
      <c r="L15" s="1" t="s">
        <v>496</v>
      </c>
      <c r="M15" s="1" t="s">
        <v>497</v>
      </c>
      <c r="O15" s="46"/>
      <c r="P15" s="46"/>
      <c r="Q15" s="46"/>
      <c r="R15" s="1">
        <v>145.5058046</v>
      </c>
      <c r="S15" s="1">
        <v>163</v>
      </c>
      <c r="T15" s="1">
        <v>158</v>
      </c>
      <c r="X15" s="1">
        <v>66.001000000000005</v>
      </c>
      <c r="Y15" s="1">
        <v>74</v>
      </c>
      <c r="Z15" s="1">
        <v>72</v>
      </c>
      <c r="AB15" s="1">
        <v>63</v>
      </c>
      <c r="AC15" s="1">
        <v>138</v>
      </c>
      <c r="AD15" s="1">
        <v>63</v>
      </c>
      <c r="AF15" s="46" t="s">
        <v>691</v>
      </c>
      <c r="AG15" s="1" t="s">
        <v>691</v>
      </c>
      <c r="AH15" s="1" t="s">
        <v>709</v>
      </c>
      <c r="AK15" s="126" t="s">
        <v>604</v>
      </c>
      <c r="AL15" s="1" t="s">
        <v>731</v>
      </c>
      <c r="AM15" s="1">
        <v>1</v>
      </c>
      <c r="AO15" s="126" t="s">
        <v>877</v>
      </c>
      <c r="AP15" s="1" t="s">
        <v>878</v>
      </c>
      <c r="AQ15" s="1">
        <v>1</v>
      </c>
    </row>
    <row r="16" spans="1:43" ht="15" x14ac:dyDescent="0.25">
      <c r="A16" s="1">
        <v>43</v>
      </c>
      <c r="B16" s="1">
        <v>1.0309999999999999</v>
      </c>
      <c r="E16" s="1">
        <v>72.001000000000005</v>
      </c>
      <c r="F16" s="1">
        <v>74</v>
      </c>
      <c r="G16" s="1">
        <v>84</v>
      </c>
      <c r="I16" s="1">
        <v>74</v>
      </c>
      <c r="J16" s="1">
        <v>15</v>
      </c>
      <c r="L16" s="1" t="s">
        <v>498</v>
      </c>
      <c r="M16" s="1" t="s">
        <v>499</v>
      </c>
      <c r="O16" s="46"/>
      <c r="P16" s="46"/>
      <c r="Q16" s="46"/>
      <c r="R16" s="1">
        <v>158.73340460000003</v>
      </c>
      <c r="S16" s="1">
        <v>163</v>
      </c>
      <c r="T16" s="1">
        <v>185</v>
      </c>
      <c r="V16" s="31"/>
      <c r="W16" s="31"/>
      <c r="X16" s="1">
        <v>72.001000000000005</v>
      </c>
      <c r="Y16" s="1">
        <v>74</v>
      </c>
      <c r="Z16" s="1">
        <v>84</v>
      </c>
      <c r="AB16" s="1">
        <v>66</v>
      </c>
      <c r="AC16" s="1">
        <v>145</v>
      </c>
      <c r="AD16" s="1">
        <v>66</v>
      </c>
      <c r="AF16" s="46" t="s">
        <v>690</v>
      </c>
      <c r="AG16" s="1" t="s">
        <v>690</v>
      </c>
      <c r="AH16" s="1" t="s">
        <v>708</v>
      </c>
      <c r="AK16" s="126" t="s">
        <v>605</v>
      </c>
      <c r="AL16" s="1" t="s">
        <v>732</v>
      </c>
      <c r="AM16" s="1">
        <v>1</v>
      </c>
      <c r="AO16" s="126" t="s">
        <v>879</v>
      </c>
      <c r="AP16" s="1" t="s">
        <v>880</v>
      </c>
      <c r="AQ16" s="1">
        <v>1</v>
      </c>
    </row>
    <row r="17" spans="1:43" ht="15" x14ac:dyDescent="0.25">
      <c r="A17" s="1">
        <v>44</v>
      </c>
      <c r="B17" s="1">
        <v>1.0429999999999999</v>
      </c>
      <c r="E17" s="1">
        <v>74.001000000000005</v>
      </c>
      <c r="F17" s="1">
        <v>83</v>
      </c>
      <c r="G17" s="1">
        <v>84</v>
      </c>
      <c r="I17" s="1">
        <v>75</v>
      </c>
      <c r="J17" s="1">
        <v>16</v>
      </c>
      <c r="L17" s="31" t="s">
        <v>500</v>
      </c>
      <c r="M17" s="31" t="s">
        <v>501</v>
      </c>
      <c r="O17" s="46"/>
      <c r="P17" s="46"/>
      <c r="Q17" s="46"/>
      <c r="R17" s="1">
        <v>163.14260460000003</v>
      </c>
      <c r="S17" s="1">
        <v>183</v>
      </c>
      <c r="T17" s="1">
        <v>185</v>
      </c>
      <c r="X17" s="1">
        <v>74.001000000000005</v>
      </c>
      <c r="Y17" s="1">
        <v>83</v>
      </c>
      <c r="Z17" s="1">
        <v>84</v>
      </c>
      <c r="AB17" s="1">
        <v>67.5</v>
      </c>
      <c r="AC17" s="1">
        <v>148</v>
      </c>
      <c r="AD17" s="1">
        <v>67.5</v>
      </c>
      <c r="AF17" s="46" t="s">
        <v>689</v>
      </c>
      <c r="AG17" s="1" t="s">
        <v>689</v>
      </c>
      <c r="AH17" s="1" t="s">
        <v>707</v>
      </c>
      <c r="AK17" s="126" t="s">
        <v>594</v>
      </c>
      <c r="AL17" s="1" t="s">
        <v>733</v>
      </c>
      <c r="AM17" s="1">
        <v>1</v>
      </c>
      <c r="AO17" s="126" t="s">
        <v>881</v>
      </c>
      <c r="AP17" s="1" t="s">
        <v>882</v>
      </c>
      <c r="AQ17" s="1">
        <v>1</v>
      </c>
    </row>
    <row r="18" spans="1:43" s="31" customFormat="1" ht="12.75" customHeight="1" x14ac:dyDescent="0.25">
      <c r="A18" s="31">
        <v>45</v>
      </c>
      <c r="B18" s="31">
        <v>1.0549999999999999</v>
      </c>
      <c r="E18" s="1">
        <v>83.001000000000005</v>
      </c>
      <c r="F18" s="1">
        <v>93</v>
      </c>
      <c r="G18" s="1">
        <v>84</v>
      </c>
      <c r="I18" s="1">
        <v>82.5</v>
      </c>
      <c r="J18" s="1">
        <v>17</v>
      </c>
      <c r="L18" s="1" t="s">
        <v>502</v>
      </c>
      <c r="M18" s="1" t="s">
        <v>503</v>
      </c>
      <c r="O18" s="46"/>
      <c r="P18" s="46"/>
      <c r="Q18" s="46"/>
      <c r="R18" s="1">
        <v>183.00384600000001</v>
      </c>
      <c r="S18" s="1">
        <v>183</v>
      </c>
      <c r="T18" s="1">
        <v>185</v>
      </c>
      <c r="U18" s="1"/>
      <c r="V18" s="1"/>
      <c r="W18" s="1"/>
      <c r="X18" s="1">
        <v>83.01</v>
      </c>
      <c r="Y18" s="1">
        <v>93</v>
      </c>
      <c r="Z18" s="1">
        <v>84</v>
      </c>
      <c r="AB18" s="1">
        <v>72</v>
      </c>
      <c r="AC18" s="1">
        <v>158</v>
      </c>
      <c r="AD18" s="1">
        <v>72</v>
      </c>
      <c r="AF18" s="46" t="s">
        <v>688</v>
      </c>
      <c r="AG18" s="31" t="s">
        <v>688</v>
      </c>
      <c r="AH18" s="31" t="s">
        <v>227</v>
      </c>
      <c r="AK18" s="126" t="s">
        <v>606</v>
      </c>
      <c r="AL18" s="1" t="s">
        <v>734</v>
      </c>
      <c r="AM18" s="1">
        <v>1</v>
      </c>
      <c r="AO18" s="126" t="s">
        <v>631</v>
      </c>
      <c r="AP18" s="1" t="s">
        <v>883</v>
      </c>
      <c r="AQ18" s="1">
        <v>1</v>
      </c>
    </row>
    <row r="19" spans="1:43" ht="12.75" customHeight="1" x14ac:dyDescent="0.25">
      <c r="A19" s="1">
        <v>46</v>
      </c>
      <c r="B19" s="1">
        <v>1.0680000000000001</v>
      </c>
      <c r="E19" s="1">
        <v>84.001000000000005</v>
      </c>
      <c r="F19" s="1">
        <v>93</v>
      </c>
      <c r="G19" s="1" t="s">
        <v>53</v>
      </c>
      <c r="I19" s="1">
        <v>83</v>
      </c>
      <c r="J19" s="1">
        <v>18</v>
      </c>
      <c r="L19" s="1" t="s">
        <v>504</v>
      </c>
      <c r="M19" s="1" t="s">
        <v>505</v>
      </c>
      <c r="O19" s="46"/>
      <c r="P19" s="46"/>
      <c r="Q19" s="46"/>
      <c r="R19" s="1">
        <v>185.18860460000002</v>
      </c>
      <c r="S19" s="1">
        <v>205</v>
      </c>
      <c r="T19" s="1" t="s">
        <v>88</v>
      </c>
      <c r="X19" s="1">
        <v>84.001000000000005</v>
      </c>
      <c r="Y19" s="1">
        <v>93</v>
      </c>
      <c r="Z19" s="1" t="s">
        <v>53</v>
      </c>
      <c r="AB19" s="1">
        <v>74</v>
      </c>
      <c r="AC19" s="1">
        <v>163</v>
      </c>
      <c r="AD19" s="1">
        <v>74</v>
      </c>
      <c r="AF19" s="46" t="s">
        <v>687</v>
      </c>
      <c r="AG19" s="1" t="s">
        <v>687</v>
      </c>
      <c r="AH19" s="1" t="s">
        <v>228</v>
      </c>
      <c r="AK19" s="126" t="s">
        <v>607</v>
      </c>
      <c r="AL19" s="1" t="s">
        <v>735</v>
      </c>
      <c r="AM19" s="1">
        <v>1</v>
      </c>
      <c r="AO19" s="126" t="s">
        <v>884</v>
      </c>
      <c r="AP19" s="1" t="s">
        <v>885</v>
      </c>
      <c r="AQ19" s="1">
        <v>1</v>
      </c>
    </row>
    <row r="20" spans="1:43" ht="12.75" customHeight="1" x14ac:dyDescent="0.25">
      <c r="A20" s="1">
        <v>47</v>
      </c>
      <c r="B20" s="1">
        <v>1.0820000000000001</v>
      </c>
      <c r="E20" s="1">
        <v>93.001000000000005</v>
      </c>
      <c r="F20" s="1">
        <v>105</v>
      </c>
      <c r="G20" s="1" t="s">
        <v>53</v>
      </c>
      <c r="I20" s="1">
        <v>84</v>
      </c>
      <c r="J20" s="1">
        <v>19</v>
      </c>
      <c r="L20" s="1" t="s">
        <v>506</v>
      </c>
      <c r="M20" s="1" t="s">
        <v>507</v>
      </c>
      <c r="O20" s="46"/>
      <c r="P20" s="46"/>
      <c r="Q20" s="46"/>
      <c r="R20" s="1">
        <v>205.03000460000001</v>
      </c>
      <c r="S20" s="1">
        <v>231</v>
      </c>
      <c r="T20" s="1" t="s">
        <v>88</v>
      </c>
      <c r="X20" s="1">
        <v>93.001000000000005</v>
      </c>
      <c r="Y20" s="31">
        <v>105</v>
      </c>
      <c r="Z20" s="1" t="s">
        <v>53</v>
      </c>
      <c r="AB20" s="1">
        <v>75</v>
      </c>
      <c r="AC20" s="1">
        <v>165</v>
      </c>
      <c r="AD20" s="1">
        <v>75</v>
      </c>
      <c r="AF20" s="46" t="s">
        <v>686</v>
      </c>
      <c r="AG20" s="1" t="s">
        <v>686</v>
      </c>
      <c r="AH20" s="1" t="s">
        <v>229</v>
      </c>
      <c r="AK20" s="126" t="s">
        <v>608</v>
      </c>
      <c r="AL20" s="1" t="s">
        <v>736</v>
      </c>
      <c r="AM20" s="1">
        <v>1</v>
      </c>
      <c r="AO20" s="126" t="s">
        <v>886</v>
      </c>
      <c r="AP20" s="1" t="s">
        <v>887</v>
      </c>
      <c r="AQ20" s="1">
        <v>1</v>
      </c>
    </row>
    <row r="21" spans="1:43" ht="15" x14ac:dyDescent="0.25">
      <c r="A21" s="1">
        <v>48</v>
      </c>
      <c r="B21" s="1">
        <v>1.097</v>
      </c>
      <c r="E21" s="1">
        <v>105.001</v>
      </c>
      <c r="F21" s="1">
        <v>120</v>
      </c>
      <c r="G21" s="1" t="s">
        <v>53</v>
      </c>
      <c r="I21" s="1" t="s">
        <v>53</v>
      </c>
      <c r="J21" s="1">
        <v>20</v>
      </c>
      <c r="L21" s="1" t="s">
        <v>508</v>
      </c>
      <c r="M21" s="1" t="s">
        <v>509</v>
      </c>
      <c r="O21" s="46"/>
      <c r="P21" s="46"/>
      <c r="Q21" s="46"/>
      <c r="R21" s="1">
        <v>231.48520460000003</v>
      </c>
      <c r="S21" s="1">
        <v>264</v>
      </c>
      <c r="T21" s="1" t="s">
        <v>88</v>
      </c>
      <c r="X21" s="1">
        <v>105.001</v>
      </c>
      <c r="Y21" s="1">
        <v>120</v>
      </c>
      <c r="Z21" s="1" t="s">
        <v>53</v>
      </c>
      <c r="AB21" s="1">
        <v>82.5</v>
      </c>
      <c r="AC21" s="1">
        <v>181</v>
      </c>
      <c r="AD21" s="1">
        <v>82.5</v>
      </c>
      <c r="AF21" s="46" t="s">
        <v>685</v>
      </c>
      <c r="AG21" s="1" t="s">
        <v>685</v>
      </c>
      <c r="AH21" s="1" t="s">
        <v>230</v>
      </c>
      <c r="AK21" s="126" t="s">
        <v>609</v>
      </c>
      <c r="AL21" s="1" t="s">
        <v>737</v>
      </c>
      <c r="AM21" s="1">
        <v>1</v>
      </c>
      <c r="AO21" s="126" t="s">
        <v>888</v>
      </c>
      <c r="AP21" s="1" t="s">
        <v>889</v>
      </c>
      <c r="AQ21" s="1">
        <v>1</v>
      </c>
    </row>
    <row r="22" spans="1:43" ht="15" x14ac:dyDescent="0.25">
      <c r="A22" s="1">
        <v>49</v>
      </c>
      <c r="B22" s="1">
        <v>1.113</v>
      </c>
      <c r="E22" s="1">
        <v>120.001</v>
      </c>
      <c r="F22" s="1" t="s">
        <v>52</v>
      </c>
      <c r="G22" s="1" t="s">
        <v>53</v>
      </c>
      <c r="I22" s="1">
        <v>90</v>
      </c>
      <c r="J22" s="1">
        <v>21</v>
      </c>
      <c r="L22" s="1" t="s">
        <v>510</v>
      </c>
      <c r="M22" s="1" t="s">
        <v>511</v>
      </c>
      <c r="O22" s="46"/>
      <c r="P22" s="46"/>
      <c r="Q22" s="46"/>
      <c r="R22" s="1">
        <v>264.55420460000005</v>
      </c>
      <c r="S22" s="1" t="s">
        <v>87</v>
      </c>
      <c r="T22" s="1" t="s">
        <v>88</v>
      </c>
      <c r="X22" s="1">
        <v>120.001</v>
      </c>
      <c r="Y22" s="1" t="s">
        <v>52</v>
      </c>
      <c r="Z22" s="1" t="s">
        <v>53</v>
      </c>
      <c r="AB22" s="1">
        <v>83</v>
      </c>
      <c r="AC22" s="1">
        <v>183</v>
      </c>
      <c r="AD22" s="1">
        <v>83</v>
      </c>
      <c r="AF22" s="46" t="s">
        <v>203</v>
      </c>
      <c r="AG22" s="1" t="s">
        <v>203</v>
      </c>
      <c r="AH22" s="1" t="s">
        <v>329</v>
      </c>
      <c r="AK22" s="126" t="s">
        <v>610</v>
      </c>
      <c r="AL22" s="1" t="s">
        <v>738</v>
      </c>
      <c r="AM22" s="1">
        <v>1</v>
      </c>
      <c r="AO22" s="126" t="s">
        <v>890</v>
      </c>
      <c r="AP22" s="1" t="s">
        <v>891</v>
      </c>
      <c r="AQ22" s="1">
        <v>1</v>
      </c>
    </row>
    <row r="23" spans="1:43" ht="15" x14ac:dyDescent="0.25">
      <c r="A23" s="1">
        <v>50</v>
      </c>
      <c r="B23" s="1">
        <v>1.1299999999999999</v>
      </c>
      <c r="I23" s="1" t="s">
        <v>47</v>
      </c>
      <c r="J23" s="1">
        <v>22</v>
      </c>
      <c r="L23" s="1" t="s">
        <v>512</v>
      </c>
      <c r="M23" s="1" t="s">
        <v>513</v>
      </c>
      <c r="O23" s="46"/>
      <c r="P23" s="46"/>
      <c r="Q23" s="46"/>
      <c r="AB23" s="1">
        <v>84</v>
      </c>
      <c r="AC23" s="1">
        <v>185</v>
      </c>
      <c r="AD23" s="1">
        <v>84</v>
      </c>
      <c r="AF23" s="46" t="s">
        <v>204</v>
      </c>
      <c r="AG23" s="1" t="s">
        <v>204</v>
      </c>
      <c r="AH23" s="1" t="s">
        <v>330</v>
      </c>
      <c r="AK23" s="126" t="s">
        <v>611</v>
      </c>
      <c r="AL23" s="1" t="s">
        <v>739</v>
      </c>
      <c r="AM23" s="1">
        <v>1</v>
      </c>
      <c r="AO23" s="126" t="s">
        <v>892</v>
      </c>
      <c r="AP23" s="1" t="s">
        <v>893</v>
      </c>
      <c r="AQ23" s="1">
        <v>1</v>
      </c>
    </row>
    <row r="24" spans="1:43" ht="15" x14ac:dyDescent="0.25">
      <c r="A24" s="1">
        <v>51</v>
      </c>
      <c r="B24" s="1">
        <v>1.147</v>
      </c>
      <c r="I24" s="1">
        <v>93</v>
      </c>
      <c r="J24" s="1">
        <v>23</v>
      </c>
      <c r="L24" s="1" t="s">
        <v>514</v>
      </c>
      <c r="M24" s="1" t="s">
        <v>515</v>
      </c>
      <c r="O24" s="46"/>
      <c r="P24" s="46"/>
      <c r="Q24" s="46"/>
      <c r="AB24" s="1" t="s">
        <v>53</v>
      </c>
      <c r="AC24" s="1" t="s">
        <v>88</v>
      </c>
      <c r="AD24" s="1" t="s">
        <v>53</v>
      </c>
      <c r="AF24" s="46" t="s">
        <v>205</v>
      </c>
      <c r="AG24" s="1" t="s">
        <v>205</v>
      </c>
      <c r="AH24" s="1" t="s">
        <v>331</v>
      </c>
      <c r="AK24" s="126" t="s">
        <v>612</v>
      </c>
      <c r="AL24" s="1" t="s">
        <v>740</v>
      </c>
      <c r="AM24" s="1">
        <v>1</v>
      </c>
      <c r="AO24" s="126" t="s">
        <v>894</v>
      </c>
      <c r="AP24" s="1" t="s">
        <v>895</v>
      </c>
      <c r="AQ24" s="1">
        <v>1</v>
      </c>
    </row>
    <row r="25" spans="1:43" ht="15" x14ac:dyDescent="0.25">
      <c r="A25" s="1">
        <v>52</v>
      </c>
      <c r="B25" s="1">
        <v>1.165</v>
      </c>
      <c r="I25" s="1">
        <v>100</v>
      </c>
      <c r="J25" s="1">
        <v>24</v>
      </c>
      <c r="L25" s="1" t="s">
        <v>516</v>
      </c>
      <c r="M25" s="1" t="s">
        <v>517</v>
      </c>
      <c r="O25" s="46"/>
      <c r="P25" s="46"/>
      <c r="Q25" s="46"/>
      <c r="AB25" s="1">
        <v>90</v>
      </c>
      <c r="AC25" s="1">
        <v>198</v>
      </c>
      <c r="AD25" s="1">
        <v>90</v>
      </c>
      <c r="AF25" s="46" t="s">
        <v>206</v>
      </c>
      <c r="AG25" s="1" t="s">
        <v>206</v>
      </c>
      <c r="AH25" s="1" t="s">
        <v>332</v>
      </c>
      <c r="AK25" s="126" t="s">
        <v>613</v>
      </c>
      <c r="AL25" s="1" t="s">
        <v>741</v>
      </c>
      <c r="AM25" s="1">
        <v>1</v>
      </c>
      <c r="AO25" s="126" t="s">
        <v>588</v>
      </c>
      <c r="AP25" s="1" t="s">
        <v>896</v>
      </c>
      <c r="AQ25" s="1">
        <v>1</v>
      </c>
    </row>
    <row r="26" spans="1:43" ht="15" x14ac:dyDescent="0.25">
      <c r="A26" s="1">
        <v>53</v>
      </c>
      <c r="B26" s="1">
        <v>1.1839999999999999</v>
      </c>
      <c r="I26" s="1">
        <v>105</v>
      </c>
      <c r="J26" s="1">
        <v>25</v>
      </c>
      <c r="L26" s="1" t="s">
        <v>518</v>
      </c>
      <c r="M26" s="1" t="s">
        <v>519</v>
      </c>
      <c r="O26" s="46"/>
      <c r="P26" s="46"/>
      <c r="Q26" s="46"/>
      <c r="AB26" s="1" t="s">
        <v>47</v>
      </c>
      <c r="AC26" s="1" t="s">
        <v>85</v>
      </c>
      <c r="AD26" s="1" t="s">
        <v>47</v>
      </c>
      <c r="AF26" s="46" t="s">
        <v>207</v>
      </c>
      <c r="AG26" s="1" t="s">
        <v>207</v>
      </c>
      <c r="AH26" s="1" t="s">
        <v>333</v>
      </c>
      <c r="AK26" s="126" t="s">
        <v>614</v>
      </c>
      <c r="AL26" s="1" t="s">
        <v>742</v>
      </c>
      <c r="AM26" s="1">
        <v>1</v>
      </c>
      <c r="AO26" s="126" t="s">
        <v>897</v>
      </c>
      <c r="AP26" s="1" t="s">
        <v>898</v>
      </c>
      <c r="AQ26" s="1">
        <v>1</v>
      </c>
    </row>
    <row r="27" spans="1:43" ht="15" x14ac:dyDescent="0.25">
      <c r="A27" s="1">
        <v>54</v>
      </c>
      <c r="B27" s="1">
        <v>1.204</v>
      </c>
      <c r="I27" s="1">
        <v>110</v>
      </c>
      <c r="J27" s="1">
        <v>26</v>
      </c>
      <c r="L27" s="1" t="s">
        <v>520</v>
      </c>
      <c r="M27" s="1" t="s">
        <v>521</v>
      </c>
      <c r="O27" s="46"/>
      <c r="P27" s="46"/>
      <c r="Q27" s="46"/>
      <c r="AB27" s="1">
        <v>93</v>
      </c>
      <c r="AC27" s="1">
        <v>205</v>
      </c>
      <c r="AD27" s="1">
        <v>93</v>
      </c>
      <c r="AF27" s="46" t="s">
        <v>208</v>
      </c>
      <c r="AG27" s="1" t="s">
        <v>208</v>
      </c>
      <c r="AH27" s="1" t="s">
        <v>334</v>
      </c>
      <c r="AK27" s="126" t="s">
        <v>615</v>
      </c>
      <c r="AL27" s="1" t="s">
        <v>743</v>
      </c>
      <c r="AM27" s="1">
        <v>1</v>
      </c>
      <c r="AO27" s="126" t="s">
        <v>899</v>
      </c>
      <c r="AP27" s="1" t="s">
        <v>900</v>
      </c>
      <c r="AQ27" s="1">
        <v>1</v>
      </c>
    </row>
    <row r="28" spans="1:43" ht="15" x14ac:dyDescent="0.25">
      <c r="A28" s="1">
        <v>55</v>
      </c>
      <c r="B28" s="1">
        <v>1.2250000000000001</v>
      </c>
      <c r="I28" s="1">
        <v>120</v>
      </c>
      <c r="J28" s="1">
        <v>27</v>
      </c>
      <c r="L28" s="1" t="s">
        <v>522</v>
      </c>
      <c r="M28" s="1" t="s">
        <v>523</v>
      </c>
      <c r="AB28" s="1">
        <v>100</v>
      </c>
      <c r="AC28" s="1">
        <v>220</v>
      </c>
      <c r="AD28" s="1">
        <v>100</v>
      </c>
      <c r="AF28" s="46" t="s">
        <v>209</v>
      </c>
      <c r="AG28" s="1" t="s">
        <v>209</v>
      </c>
      <c r="AH28" s="1" t="s">
        <v>335</v>
      </c>
      <c r="AK28" s="126" t="s">
        <v>24</v>
      </c>
      <c r="AL28" s="1" t="s">
        <v>771</v>
      </c>
      <c r="AM28" s="1">
        <v>1</v>
      </c>
      <c r="AO28" s="126" t="s">
        <v>901</v>
      </c>
      <c r="AP28" s="1" t="s">
        <v>902</v>
      </c>
      <c r="AQ28" s="1">
        <v>1</v>
      </c>
    </row>
    <row r="29" spans="1:43" ht="15" x14ac:dyDescent="0.25">
      <c r="A29" s="1">
        <v>56</v>
      </c>
      <c r="B29" s="1">
        <v>1.246</v>
      </c>
      <c r="I29" s="1" t="s">
        <v>52</v>
      </c>
      <c r="J29" s="1">
        <v>28</v>
      </c>
      <c r="L29" s="1" t="s">
        <v>524</v>
      </c>
      <c r="M29" s="1" t="s">
        <v>525</v>
      </c>
      <c r="AB29" s="1">
        <v>105</v>
      </c>
      <c r="AC29" s="1">
        <v>231</v>
      </c>
      <c r="AD29" s="1">
        <v>105</v>
      </c>
      <c r="AF29" s="46" t="s">
        <v>210</v>
      </c>
      <c r="AG29" s="1" t="s">
        <v>210</v>
      </c>
      <c r="AH29" s="1" t="s">
        <v>336</v>
      </c>
      <c r="AK29" s="126" t="s">
        <v>616</v>
      </c>
      <c r="AL29" s="1" t="s">
        <v>744</v>
      </c>
      <c r="AM29" s="1">
        <v>1</v>
      </c>
      <c r="AO29" s="126" t="s">
        <v>903</v>
      </c>
      <c r="AP29" s="1" t="s">
        <v>904</v>
      </c>
      <c r="AQ29" s="1">
        <v>1</v>
      </c>
    </row>
    <row r="30" spans="1:43" ht="15" x14ac:dyDescent="0.25">
      <c r="A30" s="1">
        <v>57</v>
      </c>
      <c r="B30" s="1">
        <v>1.258</v>
      </c>
      <c r="I30" s="1">
        <v>125</v>
      </c>
      <c r="J30" s="1">
        <v>29</v>
      </c>
      <c r="L30" s="1" t="s">
        <v>526</v>
      </c>
      <c r="M30" s="1" t="s">
        <v>527</v>
      </c>
      <c r="AB30" s="1">
        <v>110</v>
      </c>
      <c r="AC30" s="1">
        <v>242</v>
      </c>
      <c r="AD30" s="1">
        <v>110</v>
      </c>
      <c r="AF30" s="46" t="s">
        <v>211</v>
      </c>
      <c r="AG30" s="1" t="s">
        <v>211</v>
      </c>
      <c r="AH30" s="1" t="s">
        <v>337</v>
      </c>
      <c r="AK30" s="126" t="s">
        <v>617</v>
      </c>
      <c r="AL30" s="1" t="s">
        <v>745</v>
      </c>
      <c r="AM30" s="1">
        <v>1</v>
      </c>
      <c r="AO30" s="126"/>
    </row>
    <row r="31" spans="1:43" ht="15" x14ac:dyDescent="0.25">
      <c r="A31" s="1">
        <v>58</v>
      </c>
      <c r="B31" s="1">
        <v>1.292</v>
      </c>
      <c r="I31" s="1" t="s">
        <v>46</v>
      </c>
      <c r="J31" s="1">
        <v>30</v>
      </c>
      <c r="L31" s="1" t="s">
        <v>528</v>
      </c>
      <c r="M31" s="1" t="s">
        <v>529</v>
      </c>
      <c r="AB31" s="1">
        <v>120</v>
      </c>
      <c r="AC31" s="1">
        <v>264</v>
      </c>
      <c r="AD31" s="1">
        <v>120</v>
      </c>
      <c r="AF31" s="46" t="s">
        <v>212</v>
      </c>
      <c r="AG31" s="1" t="s">
        <v>212</v>
      </c>
      <c r="AH31" s="1" t="s">
        <v>338</v>
      </c>
      <c r="AK31" s="126" t="s">
        <v>618</v>
      </c>
      <c r="AL31" s="1" t="s">
        <v>746</v>
      </c>
      <c r="AM31" s="1">
        <v>1</v>
      </c>
      <c r="AO31" s="126"/>
    </row>
    <row r="32" spans="1:43" ht="15" x14ac:dyDescent="0.25">
      <c r="A32" s="1">
        <v>59</v>
      </c>
      <c r="B32" s="1">
        <v>1.3149999999999999</v>
      </c>
      <c r="I32" s="1">
        <v>94</v>
      </c>
      <c r="J32" s="1">
        <v>31</v>
      </c>
      <c r="L32" s="1" t="s">
        <v>530</v>
      </c>
      <c r="M32" s="1" t="s">
        <v>531</v>
      </c>
      <c r="AB32" s="1">
        <v>125</v>
      </c>
      <c r="AC32" s="1">
        <v>275</v>
      </c>
      <c r="AD32" s="1">
        <v>125</v>
      </c>
      <c r="AF32" s="46" t="s">
        <v>213</v>
      </c>
      <c r="AG32" s="1" t="s">
        <v>213</v>
      </c>
      <c r="AH32" s="1" t="s">
        <v>339</v>
      </c>
      <c r="AK32" s="126" t="s">
        <v>619</v>
      </c>
      <c r="AL32" s="1" t="s">
        <v>747</v>
      </c>
      <c r="AM32" s="1">
        <v>1</v>
      </c>
      <c r="AO32" s="126"/>
    </row>
    <row r="33" spans="1:41" ht="12.75" customHeight="1" x14ac:dyDescent="0.25">
      <c r="A33" s="1">
        <v>60</v>
      </c>
      <c r="B33" s="1">
        <v>1.34</v>
      </c>
      <c r="I33" s="1">
        <v>97</v>
      </c>
      <c r="J33" s="1">
        <v>32</v>
      </c>
      <c r="L33" s="1" t="s">
        <v>532</v>
      </c>
      <c r="M33" s="1" t="s">
        <v>533</v>
      </c>
      <c r="AB33" s="1" t="s">
        <v>52</v>
      </c>
      <c r="AC33" s="1" t="s">
        <v>87</v>
      </c>
      <c r="AD33" s="1" t="s">
        <v>52</v>
      </c>
      <c r="AF33" s="46" t="s">
        <v>214</v>
      </c>
      <c r="AG33" s="1" t="s">
        <v>214</v>
      </c>
      <c r="AH33" s="1" t="s">
        <v>340</v>
      </c>
      <c r="AK33" s="126" t="s">
        <v>620</v>
      </c>
      <c r="AL33" s="1" t="s">
        <v>748</v>
      </c>
      <c r="AM33" s="1">
        <v>1</v>
      </c>
      <c r="AO33" s="126"/>
    </row>
    <row r="34" spans="1:41" ht="12.75" customHeight="1" x14ac:dyDescent="0.25">
      <c r="A34" s="1">
        <v>61</v>
      </c>
      <c r="B34" s="1">
        <v>1.3660000000000001</v>
      </c>
      <c r="E34" s="33" t="s">
        <v>48</v>
      </c>
      <c r="F34" s="33" t="s">
        <v>50</v>
      </c>
      <c r="G34" s="33"/>
      <c r="I34" s="1">
        <v>103</v>
      </c>
      <c r="J34" s="1">
        <v>33</v>
      </c>
      <c r="L34" s="1" t="s">
        <v>534</v>
      </c>
      <c r="M34" s="1" t="s">
        <v>535</v>
      </c>
      <c r="AB34" s="1" t="s">
        <v>46</v>
      </c>
      <c r="AC34" s="1" t="s">
        <v>86</v>
      </c>
      <c r="AD34" s="1" t="s">
        <v>46</v>
      </c>
      <c r="AF34" s="46" t="s">
        <v>215</v>
      </c>
      <c r="AG34" s="1" t="s">
        <v>215</v>
      </c>
      <c r="AH34" s="1" t="s">
        <v>341</v>
      </c>
      <c r="AK34" s="126" t="s">
        <v>621</v>
      </c>
      <c r="AL34" s="1" t="s">
        <v>749</v>
      </c>
      <c r="AM34" s="1">
        <v>1</v>
      </c>
      <c r="AO34" s="126"/>
    </row>
    <row r="35" spans="1:41" ht="12.75" customHeight="1" x14ac:dyDescent="0.25">
      <c r="A35" s="1">
        <v>62</v>
      </c>
      <c r="B35" s="1">
        <v>1.393</v>
      </c>
      <c r="E35" s="1">
        <v>8</v>
      </c>
      <c r="F35" s="1" t="s">
        <v>461</v>
      </c>
      <c r="I35" s="1">
        <v>105</v>
      </c>
      <c r="J35" s="1">
        <v>34</v>
      </c>
      <c r="L35" s="1" t="s">
        <v>536</v>
      </c>
      <c r="M35" s="1" t="s">
        <v>537</v>
      </c>
      <c r="AF35" s="46" t="s">
        <v>216</v>
      </c>
      <c r="AG35" s="1" t="s">
        <v>216</v>
      </c>
      <c r="AH35" s="1" t="s">
        <v>342</v>
      </c>
      <c r="AK35" s="126" t="s">
        <v>622</v>
      </c>
      <c r="AL35" s="1" t="s">
        <v>750</v>
      </c>
      <c r="AM35" s="1">
        <v>1</v>
      </c>
      <c r="AO35" s="126"/>
    </row>
    <row r="36" spans="1:41" ht="12.75" customHeight="1" x14ac:dyDescent="0.25">
      <c r="A36" s="1">
        <v>63</v>
      </c>
      <c r="B36" s="1">
        <v>1.421</v>
      </c>
      <c r="E36" s="1">
        <v>10</v>
      </c>
      <c r="F36" s="1" t="s">
        <v>460</v>
      </c>
      <c r="I36" s="1">
        <v>114</v>
      </c>
      <c r="J36" s="1">
        <v>35</v>
      </c>
      <c r="L36" s="1" t="s">
        <v>538</v>
      </c>
      <c r="M36" s="1" t="s">
        <v>539</v>
      </c>
      <c r="AF36" s="46" t="s">
        <v>217</v>
      </c>
      <c r="AG36" s="1" t="s">
        <v>217</v>
      </c>
      <c r="AH36" s="1" t="s">
        <v>343</v>
      </c>
      <c r="AK36" s="126" t="s">
        <v>623</v>
      </c>
      <c r="AL36" s="1" t="s">
        <v>751</v>
      </c>
      <c r="AM36" s="1">
        <v>1</v>
      </c>
      <c r="AO36" s="126"/>
    </row>
    <row r="37" spans="1:41" ht="15" x14ac:dyDescent="0.25">
      <c r="A37" s="1">
        <v>64</v>
      </c>
      <c r="B37" s="1">
        <v>1.45</v>
      </c>
      <c r="E37" s="1">
        <v>12</v>
      </c>
      <c r="F37" s="1" t="s">
        <v>459</v>
      </c>
      <c r="I37" s="1">
        <v>116</v>
      </c>
      <c r="J37" s="1">
        <v>36</v>
      </c>
      <c r="L37" s="1" t="s">
        <v>540</v>
      </c>
      <c r="M37" s="1" t="s">
        <v>541</v>
      </c>
      <c r="AF37" s="46" t="s">
        <v>218</v>
      </c>
      <c r="AG37" s="1" t="s">
        <v>218</v>
      </c>
      <c r="AH37" s="1" t="s">
        <v>344</v>
      </c>
      <c r="AK37" s="126" t="s">
        <v>624</v>
      </c>
      <c r="AL37" s="1" t="s">
        <v>752</v>
      </c>
      <c r="AM37" s="1">
        <v>1</v>
      </c>
      <c r="AO37" s="126"/>
    </row>
    <row r="38" spans="1:41" ht="12.75" customHeight="1" x14ac:dyDescent="0.25">
      <c r="A38" s="1">
        <v>65</v>
      </c>
      <c r="B38" s="1">
        <v>1.48</v>
      </c>
      <c r="E38" s="1">
        <v>14</v>
      </c>
      <c r="F38" s="1" t="s">
        <v>199</v>
      </c>
      <c r="I38" s="1">
        <v>123</v>
      </c>
      <c r="J38" s="1">
        <v>37</v>
      </c>
      <c r="L38" s="1" t="s">
        <v>542</v>
      </c>
      <c r="M38" s="1" t="s">
        <v>543</v>
      </c>
      <c r="AC38"/>
      <c r="AF38" s="46" t="s">
        <v>219</v>
      </c>
      <c r="AG38" s="1" t="s">
        <v>219</v>
      </c>
      <c r="AH38" s="1" t="s">
        <v>345</v>
      </c>
      <c r="AK38" s="126" t="s">
        <v>625</v>
      </c>
      <c r="AL38" s="1" t="s">
        <v>753</v>
      </c>
      <c r="AM38" s="1">
        <v>1</v>
      </c>
      <c r="AO38" s="126"/>
    </row>
    <row r="39" spans="1:41" ht="13.5" customHeight="1" x14ac:dyDescent="0.25">
      <c r="A39" s="1">
        <v>66</v>
      </c>
      <c r="B39" s="1">
        <v>1.5109999999999999</v>
      </c>
      <c r="E39" s="1">
        <v>16</v>
      </c>
      <c r="F39" s="1" t="s">
        <v>200</v>
      </c>
      <c r="I39" s="1">
        <v>125</v>
      </c>
      <c r="J39" s="1">
        <v>38</v>
      </c>
      <c r="L39" s="1" t="s">
        <v>544</v>
      </c>
      <c r="M39" s="1" t="s">
        <v>545</v>
      </c>
      <c r="AC39"/>
      <c r="AF39" s="46" t="s">
        <v>220</v>
      </c>
      <c r="AG39" s="1" t="s">
        <v>220</v>
      </c>
      <c r="AH39" s="1" t="s">
        <v>346</v>
      </c>
      <c r="AK39" s="126" t="s">
        <v>626</v>
      </c>
      <c r="AL39" s="1" t="s">
        <v>754</v>
      </c>
      <c r="AM39" s="1">
        <v>1</v>
      </c>
      <c r="AO39" s="126"/>
    </row>
    <row r="40" spans="1:41" ht="12.75" customHeight="1" x14ac:dyDescent="0.25">
      <c r="A40" s="1">
        <v>67</v>
      </c>
      <c r="B40" s="1">
        <v>1.5429999999999999</v>
      </c>
      <c r="E40" s="1">
        <v>18</v>
      </c>
      <c r="F40" s="1" t="s">
        <v>201</v>
      </c>
      <c r="I40" s="1">
        <v>130</v>
      </c>
      <c r="J40" s="1">
        <v>39</v>
      </c>
      <c r="L40" s="1" t="s">
        <v>546</v>
      </c>
      <c r="M40" s="1" t="s">
        <v>547</v>
      </c>
      <c r="AC40"/>
      <c r="AF40" s="46" t="s">
        <v>221</v>
      </c>
      <c r="AG40" s="1" t="s">
        <v>221</v>
      </c>
      <c r="AH40" s="1" t="s">
        <v>347</v>
      </c>
      <c r="AK40" s="126" t="s">
        <v>627</v>
      </c>
      <c r="AL40" s="1" t="s">
        <v>772</v>
      </c>
      <c r="AM40" s="1">
        <v>1</v>
      </c>
      <c r="AO40" s="126"/>
    </row>
    <row r="41" spans="1:41" ht="12.75" customHeight="1" x14ac:dyDescent="0.25">
      <c r="A41" s="1">
        <v>68</v>
      </c>
      <c r="B41" s="1">
        <v>1.5780000000000001</v>
      </c>
      <c r="E41" s="1">
        <v>20</v>
      </c>
      <c r="F41" s="1" t="s">
        <v>463</v>
      </c>
      <c r="I41" s="1">
        <v>132</v>
      </c>
      <c r="J41" s="1">
        <v>40</v>
      </c>
      <c r="L41" s="1" t="s">
        <v>548</v>
      </c>
      <c r="M41" s="1" t="s">
        <v>549</v>
      </c>
      <c r="AC41"/>
      <c r="AF41" s="46" t="s">
        <v>222</v>
      </c>
      <c r="AG41" s="1" t="s">
        <v>222</v>
      </c>
      <c r="AH41" s="1" t="s">
        <v>348</v>
      </c>
      <c r="AK41" s="126" t="s">
        <v>628</v>
      </c>
      <c r="AL41" s="1" t="s">
        <v>773</v>
      </c>
      <c r="AM41" s="1">
        <v>1</v>
      </c>
      <c r="AO41" s="126"/>
    </row>
    <row r="42" spans="1:41" ht="15" x14ac:dyDescent="0.25">
      <c r="A42" s="1">
        <v>69</v>
      </c>
      <c r="B42" s="1">
        <v>1.61</v>
      </c>
      <c r="E42" s="1">
        <v>24</v>
      </c>
      <c r="F42" s="1" t="s">
        <v>119</v>
      </c>
      <c r="I42" s="1">
        <v>138</v>
      </c>
      <c r="J42" s="1">
        <v>41</v>
      </c>
      <c r="L42" s="1" t="s">
        <v>550</v>
      </c>
      <c r="M42" s="1" t="s">
        <v>551</v>
      </c>
      <c r="AC42"/>
      <c r="AF42" s="46" t="s">
        <v>223</v>
      </c>
      <c r="AG42" s="1" t="s">
        <v>223</v>
      </c>
      <c r="AH42" s="1" t="s">
        <v>349</v>
      </c>
      <c r="AK42" s="126" t="s">
        <v>629</v>
      </c>
      <c r="AL42" s="1" t="s">
        <v>774</v>
      </c>
      <c r="AM42" s="1">
        <v>1</v>
      </c>
      <c r="AO42" s="126"/>
    </row>
    <row r="43" spans="1:41" ht="15" x14ac:dyDescent="0.25">
      <c r="A43" s="1">
        <v>70</v>
      </c>
      <c r="B43" s="1">
        <v>1.645</v>
      </c>
      <c r="E43" s="1">
        <v>40</v>
      </c>
      <c r="F43" s="1" t="s">
        <v>309</v>
      </c>
      <c r="I43" s="1">
        <v>145</v>
      </c>
      <c r="J43" s="1">
        <v>42</v>
      </c>
      <c r="L43" s="1" t="s">
        <v>552</v>
      </c>
      <c r="M43" s="1" t="s">
        <v>553</v>
      </c>
      <c r="AC43"/>
      <c r="AF43" s="46" t="s">
        <v>224</v>
      </c>
      <c r="AG43" s="1" t="s">
        <v>224</v>
      </c>
      <c r="AH43" s="1" t="s">
        <v>350</v>
      </c>
      <c r="AK43" s="126" t="s">
        <v>630</v>
      </c>
      <c r="AL43" s="1" t="s">
        <v>775</v>
      </c>
      <c r="AM43" s="1">
        <v>1</v>
      </c>
      <c r="AO43" s="126"/>
    </row>
    <row r="44" spans="1:41" ht="15" x14ac:dyDescent="0.25">
      <c r="A44" s="1">
        <v>71</v>
      </c>
      <c r="B44" s="1">
        <v>1.681</v>
      </c>
      <c r="E44" s="1">
        <v>45</v>
      </c>
      <c r="F44" s="1" t="s">
        <v>310</v>
      </c>
      <c r="I44" s="1">
        <v>148</v>
      </c>
      <c r="J44" s="1">
        <v>43</v>
      </c>
      <c r="L44" s="1" t="s">
        <v>554</v>
      </c>
      <c r="M44" s="1" t="s">
        <v>555</v>
      </c>
      <c r="AC44"/>
      <c r="AF44" s="46" t="s">
        <v>225</v>
      </c>
      <c r="AG44" s="1" t="s">
        <v>225</v>
      </c>
      <c r="AH44" s="1" t="s">
        <v>351</v>
      </c>
      <c r="AK44" s="126" t="s">
        <v>631</v>
      </c>
      <c r="AL44" s="1" t="s">
        <v>717</v>
      </c>
      <c r="AM44" s="1">
        <v>1</v>
      </c>
      <c r="AO44" s="126"/>
    </row>
    <row r="45" spans="1:41" ht="15" x14ac:dyDescent="0.25">
      <c r="A45" s="1">
        <v>72</v>
      </c>
      <c r="B45" s="1">
        <v>1.718</v>
      </c>
      <c r="E45" s="1">
        <v>50</v>
      </c>
      <c r="F45" s="1" t="s">
        <v>311</v>
      </c>
      <c r="I45" s="1">
        <v>158</v>
      </c>
      <c r="J45" s="1">
        <v>44</v>
      </c>
      <c r="L45" s="1" t="s">
        <v>556</v>
      </c>
      <c r="M45" s="1" t="s">
        <v>557</v>
      </c>
      <c r="AC45"/>
      <c r="AF45" s="46" t="s">
        <v>226</v>
      </c>
      <c r="AG45" s="1" t="s">
        <v>226</v>
      </c>
      <c r="AH45" s="1" t="s">
        <v>352</v>
      </c>
      <c r="AK45" s="126" t="s">
        <v>632</v>
      </c>
      <c r="AL45" s="1" t="s">
        <v>776</v>
      </c>
      <c r="AM45" s="1">
        <v>1</v>
      </c>
      <c r="AO45" s="126"/>
    </row>
    <row r="46" spans="1:41" ht="15" x14ac:dyDescent="0.25">
      <c r="A46" s="1">
        <v>73</v>
      </c>
      <c r="B46" s="1">
        <v>1.756</v>
      </c>
      <c r="E46" s="1">
        <v>55</v>
      </c>
      <c r="F46" s="1" t="s">
        <v>312</v>
      </c>
      <c r="I46" s="1">
        <v>163</v>
      </c>
      <c r="J46" s="1">
        <v>45</v>
      </c>
      <c r="L46" s="1" t="s">
        <v>558</v>
      </c>
      <c r="M46" s="1" t="s">
        <v>559</v>
      </c>
      <c r="AC46"/>
      <c r="AF46" s="46" t="s">
        <v>227</v>
      </c>
      <c r="AG46" s="1" t="s">
        <v>227</v>
      </c>
      <c r="AH46" s="1" t="s">
        <v>353</v>
      </c>
      <c r="AK46" s="126" t="s">
        <v>633</v>
      </c>
      <c r="AL46" s="1" t="s">
        <v>777</v>
      </c>
      <c r="AM46" s="1">
        <v>1</v>
      </c>
      <c r="AO46" s="126"/>
    </row>
    <row r="47" spans="1:41" ht="15" x14ac:dyDescent="0.25">
      <c r="A47" s="1">
        <v>74</v>
      </c>
      <c r="B47" s="1">
        <v>1.7949999999999999</v>
      </c>
      <c r="E47" s="1">
        <v>60</v>
      </c>
      <c r="F47" s="1" t="s">
        <v>313</v>
      </c>
      <c r="I47" s="1">
        <v>165</v>
      </c>
      <c r="J47" s="1">
        <v>46</v>
      </c>
      <c r="L47" s="1" t="s">
        <v>560</v>
      </c>
      <c r="M47" s="1" t="s">
        <v>561</v>
      </c>
      <c r="AC47"/>
      <c r="AF47" s="46" t="s">
        <v>228</v>
      </c>
      <c r="AG47" s="1" t="s">
        <v>228</v>
      </c>
      <c r="AH47" s="1" t="s">
        <v>354</v>
      </c>
      <c r="AK47" s="126" t="s">
        <v>634</v>
      </c>
      <c r="AL47" s="1" t="s">
        <v>778</v>
      </c>
      <c r="AM47" s="1">
        <v>1</v>
      </c>
      <c r="AO47" s="126"/>
    </row>
    <row r="48" spans="1:41" ht="15" x14ac:dyDescent="0.25">
      <c r="A48" s="1">
        <v>75</v>
      </c>
      <c r="B48" s="1">
        <v>1.835</v>
      </c>
      <c r="E48" s="1">
        <v>65</v>
      </c>
      <c r="F48" s="1" t="s">
        <v>314</v>
      </c>
      <c r="I48" s="1">
        <v>181</v>
      </c>
      <c r="J48" s="1">
        <v>47</v>
      </c>
      <c r="L48" s="1" t="s">
        <v>562</v>
      </c>
      <c r="M48" s="1" t="s">
        <v>563</v>
      </c>
      <c r="AC48"/>
      <c r="AF48" s="46" t="s">
        <v>229</v>
      </c>
      <c r="AG48" s="1" t="s">
        <v>229</v>
      </c>
      <c r="AH48" s="1" t="s">
        <v>355</v>
      </c>
      <c r="AK48" s="126" t="s">
        <v>635</v>
      </c>
      <c r="AL48" s="1" t="s">
        <v>779</v>
      </c>
      <c r="AM48" s="1">
        <v>1</v>
      </c>
      <c r="AO48" s="126"/>
    </row>
    <row r="49" spans="1:41" ht="15" x14ac:dyDescent="0.25">
      <c r="A49" s="1">
        <v>76</v>
      </c>
      <c r="B49" s="1">
        <v>1.8759999999999999</v>
      </c>
      <c r="E49" s="1">
        <v>70</v>
      </c>
      <c r="F49" s="1" t="s">
        <v>315</v>
      </c>
      <c r="I49" s="1">
        <v>182</v>
      </c>
      <c r="J49" s="1">
        <v>48</v>
      </c>
      <c r="L49" s="1" t="s">
        <v>564</v>
      </c>
      <c r="M49" s="1" t="s">
        <v>565</v>
      </c>
      <c r="AC49"/>
      <c r="AF49" s="46" t="s">
        <v>230</v>
      </c>
      <c r="AG49" s="1" t="s">
        <v>230</v>
      </c>
      <c r="AH49" s="1" t="s">
        <v>356</v>
      </c>
      <c r="AK49" s="126" t="s">
        <v>636</v>
      </c>
      <c r="AL49" s="1" t="s">
        <v>780</v>
      </c>
      <c r="AM49" s="1">
        <v>1</v>
      </c>
      <c r="AO49" s="126"/>
    </row>
    <row r="50" spans="1:41" ht="15" x14ac:dyDescent="0.25">
      <c r="A50" s="1">
        <v>77</v>
      </c>
      <c r="B50" s="1">
        <v>1.9179999999999999</v>
      </c>
      <c r="E50" s="1">
        <v>75</v>
      </c>
      <c r="F50" s="1" t="s">
        <v>316</v>
      </c>
      <c r="I50" s="1">
        <v>185</v>
      </c>
      <c r="J50" s="1">
        <v>49</v>
      </c>
      <c r="L50" s="1" t="s">
        <v>566</v>
      </c>
      <c r="M50" s="1" t="s">
        <v>567</v>
      </c>
      <c r="AC50"/>
      <c r="AF50" s="46" t="s">
        <v>231</v>
      </c>
      <c r="AG50" s="1" t="s">
        <v>231</v>
      </c>
      <c r="AH50" s="1" t="s">
        <v>357</v>
      </c>
      <c r="AK50" s="126" t="s">
        <v>637</v>
      </c>
      <c r="AL50" s="1" t="s">
        <v>781</v>
      </c>
      <c r="AM50" s="1">
        <v>1</v>
      </c>
      <c r="AO50" s="126"/>
    </row>
    <row r="51" spans="1:41" ht="15" x14ac:dyDescent="0.25">
      <c r="A51" s="1">
        <v>78</v>
      </c>
      <c r="B51" s="1">
        <v>1.9610000000000001</v>
      </c>
      <c r="E51" s="1">
        <v>80</v>
      </c>
      <c r="F51" s="1" t="s">
        <v>458</v>
      </c>
      <c r="I51" s="1" t="s">
        <v>88</v>
      </c>
      <c r="J51" s="1">
        <v>50</v>
      </c>
      <c r="L51" s="1" t="s">
        <v>568</v>
      </c>
      <c r="M51" s="1" t="s">
        <v>569</v>
      </c>
      <c r="AC51"/>
      <c r="AF51" s="46" t="s">
        <v>232</v>
      </c>
      <c r="AG51" s="1" t="s">
        <v>232</v>
      </c>
      <c r="AH51" s="1" t="s">
        <v>358</v>
      </c>
      <c r="AK51" s="126" t="s">
        <v>638</v>
      </c>
      <c r="AL51" s="1" t="s">
        <v>782</v>
      </c>
      <c r="AM51" s="1">
        <v>1</v>
      </c>
      <c r="AO51" s="126"/>
    </row>
    <row r="52" spans="1:41" ht="15" x14ac:dyDescent="0.25">
      <c r="A52" s="1">
        <v>79</v>
      </c>
      <c r="B52" s="1">
        <v>2.0049999999999999</v>
      </c>
      <c r="E52" s="1">
        <v>85</v>
      </c>
      <c r="F52" s="31" t="s">
        <v>457</v>
      </c>
      <c r="G52" s="1" t="s">
        <v>162</v>
      </c>
      <c r="I52" s="1">
        <v>198</v>
      </c>
      <c r="J52" s="1">
        <v>51</v>
      </c>
      <c r="L52" s="1" t="s">
        <v>570</v>
      </c>
      <c r="M52" s="1" t="s">
        <v>571</v>
      </c>
      <c r="AC52"/>
      <c r="AF52" s="46" t="s">
        <v>233</v>
      </c>
      <c r="AG52" s="1" t="s">
        <v>233</v>
      </c>
      <c r="AH52" s="1" t="s">
        <v>359</v>
      </c>
      <c r="AK52" s="126" t="s">
        <v>639</v>
      </c>
      <c r="AL52" s="1" t="s">
        <v>783</v>
      </c>
      <c r="AM52" s="1">
        <v>1</v>
      </c>
      <c r="AO52" s="126"/>
    </row>
    <row r="53" spans="1:41" ht="15" x14ac:dyDescent="0.25">
      <c r="A53" s="1">
        <v>80</v>
      </c>
      <c r="B53" s="1">
        <v>2.0499999999999998</v>
      </c>
      <c r="E53" s="1">
        <v>90</v>
      </c>
      <c r="F53" s="1" t="s">
        <v>456</v>
      </c>
      <c r="G53" s="1" t="s">
        <v>162</v>
      </c>
      <c r="I53" s="1" t="s">
        <v>85</v>
      </c>
      <c r="J53" s="1">
        <v>52</v>
      </c>
      <c r="L53" s="1" t="s">
        <v>572</v>
      </c>
      <c r="M53" s="1" t="s">
        <v>573</v>
      </c>
      <c r="AC53"/>
      <c r="AF53" s="46" t="s">
        <v>234</v>
      </c>
      <c r="AG53" s="1" t="s">
        <v>234</v>
      </c>
      <c r="AH53" s="1" t="s">
        <v>360</v>
      </c>
      <c r="AK53" s="126" t="s">
        <v>640</v>
      </c>
      <c r="AL53" s="1" t="s">
        <v>784</v>
      </c>
      <c r="AM53" s="1">
        <v>1</v>
      </c>
      <c r="AO53" s="126"/>
    </row>
    <row r="54" spans="1:41" ht="15" x14ac:dyDescent="0.25">
      <c r="A54" s="1">
        <v>81</v>
      </c>
      <c r="B54" s="1">
        <v>2.0960000000000001</v>
      </c>
      <c r="E54" s="31"/>
      <c r="G54" s="1" t="s">
        <v>162</v>
      </c>
      <c r="I54" s="1">
        <v>205</v>
      </c>
      <c r="J54" s="1">
        <v>53</v>
      </c>
      <c r="L54" s="1" t="s">
        <v>574</v>
      </c>
      <c r="M54" s="1" t="s">
        <v>575</v>
      </c>
      <c r="AC54"/>
      <c r="AF54" s="46" t="s">
        <v>235</v>
      </c>
      <c r="AG54" s="1" t="s">
        <v>235</v>
      </c>
      <c r="AH54" s="1" t="s">
        <v>361</v>
      </c>
      <c r="AK54" s="126" t="s">
        <v>641</v>
      </c>
      <c r="AL54" s="1" t="s">
        <v>785</v>
      </c>
      <c r="AM54" s="1">
        <v>1</v>
      </c>
      <c r="AO54" s="126"/>
    </row>
    <row r="55" spans="1:41" ht="15" x14ac:dyDescent="0.25">
      <c r="A55" s="1">
        <v>82</v>
      </c>
      <c r="B55" s="1">
        <v>2.1429999999999998</v>
      </c>
      <c r="G55" s="1" t="s">
        <v>162</v>
      </c>
      <c r="I55" s="1">
        <v>220</v>
      </c>
      <c r="J55" s="1">
        <v>54</v>
      </c>
      <c r="L55" s="1" t="s">
        <v>576</v>
      </c>
      <c r="M55" s="1" t="s">
        <v>577</v>
      </c>
      <c r="AC55"/>
      <c r="AF55" s="46" t="s">
        <v>236</v>
      </c>
      <c r="AG55" s="1" t="s">
        <v>236</v>
      </c>
      <c r="AH55" s="1" t="s">
        <v>362</v>
      </c>
      <c r="AK55" s="126" t="s">
        <v>642</v>
      </c>
      <c r="AL55" s="1" t="s">
        <v>786</v>
      </c>
      <c r="AM55" s="1">
        <v>1</v>
      </c>
      <c r="AO55" s="126"/>
    </row>
    <row r="56" spans="1:41" x14ac:dyDescent="0.2">
      <c r="A56" s="1">
        <v>83</v>
      </c>
      <c r="B56" s="1">
        <v>2.19</v>
      </c>
      <c r="G56" s="1" t="s">
        <v>162</v>
      </c>
      <c r="I56" s="1">
        <v>231</v>
      </c>
      <c r="J56" s="1">
        <v>55</v>
      </c>
      <c r="L56" s="1" t="s">
        <v>578</v>
      </c>
      <c r="M56" s="1" t="s">
        <v>579</v>
      </c>
      <c r="AB56" s="31"/>
      <c r="AC56"/>
      <c r="AF56" s="46" t="s">
        <v>237</v>
      </c>
      <c r="AG56" s="1" t="s">
        <v>237</v>
      </c>
      <c r="AH56" s="1" t="s">
        <v>363</v>
      </c>
      <c r="AK56" s="1" t="s">
        <v>643</v>
      </c>
      <c r="AL56" s="1" t="s">
        <v>755</v>
      </c>
      <c r="AM56" s="1">
        <v>1</v>
      </c>
    </row>
    <row r="57" spans="1:41" x14ac:dyDescent="0.2">
      <c r="A57" s="1">
        <v>84</v>
      </c>
      <c r="B57" s="1">
        <v>2.238</v>
      </c>
      <c r="G57" s="1" t="s">
        <v>162</v>
      </c>
      <c r="I57" s="1">
        <v>242</v>
      </c>
      <c r="J57" s="1">
        <v>56</v>
      </c>
      <c r="L57" s="1" t="s">
        <v>580</v>
      </c>
      <c r="M57" s="1" t="s">
        <v>581</v>
      </c>
      <c r="AC57"/>
      <c r="AF57" s="46" t="s">
        <v>238</v>
      </c>
      <c r="AG57" s="1" t="s">
        <v>238</v>
      </c>
      <c r="AH57" s="1" t="s">
        <v>364</v>
      </c>
      <c r="AK57" s="1" t="s">
        <v>644</v>
      </c>
      <c r="AL57" s="1" t="s">
        <v>756</v>
      </c>
      <c r="AM57" s="1">
        <v>1</v>
      </c>
    </row>
    <row r="58" spans="1:41" x14ac:dyDescent="0.2">
      <c r="A58" s="1">
        <v>85</v>
      </c>
      <c r="B58" s="1">
        <v>2.2869999999999999</v>
      </c>
      <c r="G58" s="1" t="s">
        <v>162</v>
      </c>
      <c r="I58" s="1">
        <v>264</v>
      </c>
      <c r="J58" s="1">
        <v>57</v>
      </c>
      <c r="L58" s="1" t="s">
        <v>582</v>
      </c>
      <c r="M58" s="1" t="s">
        <v>583</v>
      </c>
      <c r="AC58"/>
      <c r="AF58" s="46" t="s">
        <v>668</v>
      </c>
      <c r="AG58" s="1" t="s">
        <v>668</v>
      </c>
      <c r="AH58" s="1" t="s">
        <v>241</v>
      </c>
      <c r="AK58" s="1" t="s">
        <v>645</v>
      </c>
      <c r="AL58" s="1" t="s">
        <v>757</v>
      </c>
      <c r="AM58" s="1">
        <v>1</v>
      </c>
    </row>
    <row r="59" spans="1:41" x14ac:dyDescent="0.2">
      <c r="A59" s="1">
        <v>86</v>
      </c>
      <c r="B59" s="1">
        <v>2.3370000000000002</v>
      </c>
      <c r="G59" s="1" t="s">
        <v>162</v>
      </c>
      <c r="I59" s="1" t="s">
        <v>87</v>
      </c>
      <c r="J59" s="1">
        <v>58</v>
      </c>
      <c r="L59" s="1" t="s">
        <v>584</v>
      </c>
      <c r="M59" s="1" t="s">
        <v>585</v>
      </c>
      <c r="AC59"/>
      <c r="AF59" s="46" t="s">
        <v>667</v>
      </c>
      <c r="AG59" s="1" t="s">
        <v>667</v>
      </c>
      <c r="AH59" s="1" t="s">
        <v>696</v>
      </c>
      <c r="AK59" s="1" t="s">
        <v>646</v>
      </c>
      <c r="AL59" s="1" t="s">
        <v>758</v>
      </c>
      <c r="AM59" s="1">
        <v>1</v>
      </c>
    </row>
    <row r="60" spans="1:41" x14ac:dyDescent="0.2">
      <c r="A60" s="1">
        <v>87</v>
      </c>
      <c r="B60" s="1">
        <v>2.3879999999999999</v>
      </c>
      <c r="G60" s="1" t="s">
        <v>162</v>
      </c>
      <c r="I60" s="1">
        <v>275</v>
      </c>
      <c r="J60" s="1">
        <v>59</v>
      </c>
      <c r="L60" s="1" t="s">
        <v>586</v>
      </c>
      <c r="M60" s="1" t="s">
        <v>587</v>
      </c>
      <c r="AC60"/>
      <c r="AF60" s="46" t="s">
        <v>666</v>
      </c>
      <c r="AG60" s="1" t="s">
        <v>666</v>
      </c>
      <c r="AH60" s="1" t="s">
        <v>695</v>
      </c>
      <c r="AK60" s="1" t="s">
        <v>588</v>
      </c>
      <c r="AL60" s="1" t="s">
        <v>718</v>
      </c>
      <c r="AM60" s="1">
        <v>1</v>
      </c>
    </row>
    <row r="61" spans="1:41" x14ac:dyDescent="0.2">
      <c r="A61" s="1">
        <v>88</v>
      </c>
      <c r="B61" s="1">
        <v>2.44</v>
      </c>
      <c r="G61" s="1" t="s">
        <v>162</v>
      </c>
      <c r="I61" s="1" t="s">
        <v>86</v>
      </c>
      <c r="J61" s="1">
        <v>60</v>
      </c>
      <c r="M61" s="1" t="s">
        <v>823</v>
      </c>
      <c r="AC61"/>
      <c r="AF61" s="46" t="s">
        <v>684</v>
      </c>
      <c r="AG61" s="1" t="s">
        <v>684</v>
      </c>
      <c r="AH61" s="1" t="s">
        <v>706</v>
      </c>
      <c r="AK61" s="1" t="s">
        <v>647</v>
      </c>
      <c r="AL61" s="1" t="s">
        <v>759</v>
      </c>
      <c r="AM61" s="1">
        <v>1</v>
      </c>
    </row>
    <row r="62" spans="1:41" x14ac:dyDescent="0.2">
      <c r="A62" s="1">
        <v>89</v>
      </c>
      <c r="B62" s="1">
        <v>2.4940000000000002</v>
      </c>
      <c r="AC62"/>
      <c r="AF62" s="46" t="s">
        <v>683</v>
      </c>
      <c r="AG62" s="1" t="s">
        <v>683</v>
      </c>
      <c r="AH62" s="1" t="s">
        <v>245</v>
      </c>
      <c r="AK62" s="1" t="s">
        <v>648</v>
      </c>
      <c r="AL62" s="1" t="s">
        <v>760</v>
      </c>
      <c r="AM62" s="1">
        <v>1</v>
      </c>
    </row>
    <row r="63" spans="1:41" x14ac:dyDescent="0.2">
      <c r="A63" s="1">
        <v>90</v>
      </c>
      <c r="B63" s="1">
        <v>2.5489999999999999</v>
      </c>
      <c r="AC63"/>
      <c r="AF63" s="46" t="s">
        <v>239</v>
      </c>
      <c r="AG63" s="1" t="s">
        <v>239</v>
      </c>
      <c r="AH63" s="1" t="s">
        <v>365</v>
      </c>
      <c r="AK63" s="1" t="s">
        <v>649</v>
      </c>
      <c r="AL63" s="1" t="s">
        <v>761</v>
      </c>
      <c r="AM63" s="1">
        <v>1</v>
      </c>
    </row>
    <row r="64" spans="1:41" x14ac:dyDescent="0.2">
      <c r="AC64"/>
      <c r="AF64" s="46" t="s">
        <v>240</v>
      </c>
      <c r="AG64" s="1" t="s">
        <v>240</v>
      </c>
      <c r="AH64" s="1" t="s">
        <v>366</v>
      </c>
      <c r="AK64" s="1" t="s">
        <v>650</v>
      </c>
      <c r="AL64" s="1" t="s">
        <v>762</v>
      </c>
      <c r="AM64" s="1">
        <v>1</v>
      </c>
    </row>
    <row r="65" spans="29:39" x14ac:dyDescent="0.2">
      <c r="AC65"/>
      <c r="AF65" s="46" t="s">
        <v>241</v>
      </c>
      <c r="AG65" s="1" t="s">
        <v>241</v>
      </c>
      <c r="AH65" s="1" t="s">
        <v>367</v>
      </c>
      <c r="AK65" s="1" t="s">
        <v>651</v>
      </c>
      <c r="AL65" s="1" t="s">
        <v>763</v>
      </c>
      <c r="AM65" s="1">
        <v>1</v>
      </c>
    </row>
    <row r="66" spans="29:39" x14ac:dyDescent="0.2">
      <c r="AC66"/>
      <c r="AF66" s="46" t="s">
        <v>242</v>
      </c>
      <c r="AG66" s="1" t="s">
        <v>242</v>
      </c>
      <c r="AH66" s="1" t="s">
        <v>368</v>
      </c>
      <c r="AK66" s="1" t="s">
        <v>652</v>
      </c>
      <c r="AL66" s="1" t="s">
        <v>764</v>
      </c>
      <c r="AM66" s="1">
        <v>1</v>
      </c>
    </row>
    <row r="67" spans="29:39" x14ac:dyDescent="0.2">
      <c r="AC67"/>
      <c r="AF67" s="46" t="s">
        <v>243</v>
      </c>
      <c r="AG67" s="1" t="s">
        <v>243</v>
      </c>
      <c r="AH67" s="1" t="s">
        <v>369</v>
      </c>
      <c r="AK67" s="1" t="s">
        <v>653</v>
      </c>
      <c r="AL67" s="1" t="s">
        <v>765</v>
      </c>
      <c r="AM67" s="1">
        <v>1</v>
      </c>
    </row>
    <row r="68" spans="29:39" x14ac:dyDescent="0.2">
      <c r="AC68"/>
      <c r="AF68" s="46" t="s">
        <v>244</v>
      </c>
      <c r="AG68" s="1" t="s">
        <v>244</v>
      </c>
      <c r="AH68" s="1" t="s">
        <v>370</v>
      </c>
      <c r="AK68" s="1" t="s">
        <v>654</v>
      </c>
      <c r="AL68" s="1" t="s">
        <v>766</v>
      </c>
      <c r="AM68" s="1">
        <v>1</v>
      </c>
    </row>
    <row r="69" spans="29:39" x14ac:dyDescent="0.2">
      <c r="AC69"/>
      <c r="AF69" s="46" t="s">
        <v>245</v>
      </c>
      <c r="AG69" s="1" t="s">
        <v>245</v>
      </c>
      <c r="AH69" s="1" t="s">
        <v>371</v>
      </c>
      <c r="AK69" s="1" t="s">
        <v>655</v>
      </c>
      <c r="AL69" s="1" t="s">
        <v>767</v>
      </c>
      <c r="AM69" s="1">
        <v>1</v>
      </c>
    </row>
    <row r="70" spans="29:39" x14ac:dyDescent="0.2">
      <c r="AC70"/>
      <c r="AF70" s="46" t="s">
        <v>246</v>
      </c>
      <c r="AG70" s="1" t="s">
        <v>246</v>
      </c>
      <c r="AH70" s="1" t="s">
        <v>372</v>
      </c>
      <c r="AK70" s="1" t="s">
        <v>656</v>
      </c>
      <c r="AL70" s="1" t="s">
        <v>768</v>
      </c>
      <c r="AM70" s="1">
        <v>1</v>
      </c>
    </row>
    <row r="71" spans="29:39" x14ac:dyDescent="0.2">
      <c r="AC71"/>
      <c r="AF71" s="46" t="s">
        <v>247</v>
      </c>
      <c r="AG71" s="1" t="s">
        <v>247</v>
      </c>
      <c r="AH71" s="1" t="s">
        <v>373</v>
      </c>
      <c r="AK71" s="1" t="s">
        <v>657</v>
      </c>
      <c r="AL71" s="1" t="s">
        <v>769</v>
      </c>
      <c r="AM71" s="1">
        <v>1</v>
      </c>
    </row>
    <row r="72" spans="29:39" x14ac:dyDescent="0.2">
      <c r="AC72"/>
      <c r="AF72" s="46" t="s">
        <v>665</v>
      </c>
      <c r="AG72" s="1" t="s">
        <v>665</v>
      </c>
      <c r="AH72" s="1" t="s">
        <v>250</v>
      </c>
    </row>
    <row r="73" spans="29:39" x14ac:dyDescent="0.2">
      <c r="AC73"/>
      <c r="AF73" s="46" t="s">
        <v>664</v>
      </c>
      <c r="AG73" s="1" t="s">
        <v>664</v>
      </c>
      <c r="AH73" s="1" t="s">
        <v>694</v>
      </c>
    </row>
    <row r="74" spans="29:39" x14ac:dyDescent="0.2">
      <c r="AC74"/>
      <c r="AF74" s="46" t="s">
        <v>663</v>
      </c>
      <c r="AG74" s="1" t="s">
        <v>663</v>
      </c>
      <c r="AH74" s="1" t="s">
        <v>693</v>
      </c>
    </row>
    <row r="75" spans="29:39" x14ac:dyDescent="0.2">
      <c r="AC75"/>
      <c r="AF75" s="46" t="s">
        <v>682</v>
      </c>
      <c r="AG75" s="1" t="s">
        <v>682</v>
      </c>
      <c r="AH75" s="1" t="s">
        <v>705</v>
      </c>
    </row>
    <row r="76" spans="29:39" x14ac:dyDescent="0.2">
      <c r="AC76"/>
      <c r="AF76" s="46" t="s">
        <v>681</v>
      </c>
      <c r="AG76" s="1" t="s">
        <v>681</v>
      </c>
      <c r="AH76" s="1" t="s">
        <v>254</v>
      </c>
    </row>
    <row r="77" spans="29:39" x14ac:dyDescent="0.2">
      <c r="AC77"/>
      <c r="AF77" s="46" t="s">
        <v>248</v>
      </c>
      <c r="AG77" s="1" t="s">
        <v>248</v>
      </c>
      <c r="AH77" s="1" t="s">
        <v>374</v>
      </c>
    </row>
    <row r="78" spans="29:39" x14ac:dyDescent="0.2">
      <c r="AC78"/>
      <c r="AF78" s="46" t="s">
        <v>249</v>
      </c>
      <c r="AG78" s="1" t="s">
        <v>249</v>
      </c>
      <c r="AH78" s="1" t="s">
        <v>375</v>
      </c>
    </row>
    <row r="79" spans="29:39" x14ac:dyDescent="0.2">
      <c r="AC79"/>
      <c r="AF79" s="46" t="s">
        <v>250</v>
      </c>
      <c r="AG79" s="1" t="s">
        <v>250</v>
      </c>
      <c r="AH79" s="1" t="s">
        <v>376</v>
      </c>
    </row>
    <row r="80" spans="29:39" x14ac:dyDescent="0.2">
      <c r="AC80"/>
      <c r="AF80" s="46" t="s">
        <v>251</v>
      </c>
      <c r="AG80" s="1" t="s">
        <v>251</v>
      </c>
      <c r="AH80" s="1" t="s">
        <v>377</v>
      </c>
    </row>
    <row r="81" spans="29:34" x14ac:dyDescent="0.2">
      <c r="AC81"/>
      <c r="AF81" s="46" t="s">
        <v>252</v>
      </c>
      <c r="AG81" s="1" t="s">
        <v>252</v>
      </c>
      <c r="AH81" s="1" t="s">
        <v>378</v>
      </c>
    </row>
    <row r="82" spans="29:34" x14ac:dyDescent="0.2">
      <c r="AC82"/>
      <c r="AF82" s="46" t="s">
        <v>253</v>
      </c>
      <c r="AG82" s="1" t="s">
        <v>253</v>
      </c>
      <c r="AH82" s="1" t="s">
        <v>379</v>
      </c>
    </row>
    <row r="83" spans="29:34" x14ac:dyDescent="0.2">
      <c r="AC83"/>
      <c r="AF83" s="46" t="s">
        <v>254</v>
      </c>
      <c r="AG83" s="1" t="s">
        <v>254</v>
      </c>
      <c r="AH83" s="1" t="s">
        <v>380</v>
      </c>
    </row>
    <row r="84" spans="29:34" x14ac:dyDescent="0.2">
      <c r="AC84"/>
      <c r="AF84" s="46" t="s">
        <v>255</v>
      </c>
      <c r="AG84" s="1" t="s">
        <v>255</v>
      </c>
      <c r="AH84" s="1" t="s">
        <v>381</v>
      </c>
    </row>
    <row r="85" spans="29:34" x14ac:dyDescent="0.2">
      <c r="AC85"/>
      <c r="AF85" s="46" t="s">
        <v>256</v>
      </c>
      <c r="AG85" s="1" t="s">
        <v>256</v>
      </c>
      <c r="AH85" s="1" t="s">
        <v>382</v>
      </c>
    </row>
    <row r="86" spans="29:34" x14ac:dyDescent="0.2">
      <c r="AC86"/>
      <c r="AF86" s="46" t="s">
        <v>680</v>
      </c>
      <c r="AG86" s="1" t="s">
        <v>680</v>
      </c>
      <c r="AH86" s="1" t="s">
        <v>211</v>
      </c>
    </row>
    <row r="87" spans="29:34" x14ac:dyDescent="0.2">
      <c r="AC87"/>
      <c r="AF87" s="46" t="s">
        <v>679</v>
      </c>
      <c r="AG87" s="1" t="s">
        <v>679</v>
      </c>
      <c r="AH87" s="1" t="s">
        <v>212</v>
      </c>
    </row>
    <row r="88" spans="29:34" x14ac:dyDescent="0.2">
      <c r="AC88"/>
      <c r="AF88" s="46" t="s">
        <v>678</v>
      </c>
      <c r="AG88" s="1" t="s">
        <v>678</v>
      </c>
      <c r="AH88" s="1" t="s">
        <v>213</v>
      </c>
    </row>
    <row r="89" spans="29:34" x14ac:dyDescent="0.2">
      <c r="AC89"/>
      <c r="AF89" s="46" t="s">
        <v>677</v>
      </c>
      <c r="AG89" s="1" t="s">
        <v>677</v>
      </c>
      <c r="AH89" s="1" t="s">
        <v>214</v>
      </c>
    </row>
    <row r="90" spans="29:34" x14ac:dyDescent="0.2">
      <c r="AC90"/>
      <c r="AF90" s="46" t="s">
        <v>676</v>
      </c>
      <c r="AG90" s="1" t="s">
        <v>676</v>
      </c>
      <c r="AH90" s="1" t="s">
        <v>704</v>
      </c>
    </row>
    <row r="91" spans="29:34" x14ac:dyDescent="0.2">
      <c r="AC91"/>
      <c r="AF91" s="46" t="s">
        <v>675</v>
      </c>
      <c r="AG91" s="1" t="s">
        <v>675</v>
      </c>
      <c r="AH91" s="1" t="s">
        <v>703</v>
      </c>
    </row>
    <row r="92" spans="29:34" x14ac:dyDescent="0.2">
      <c r="AC92"/>
      <c r="AF92" s="46" t="s">
        <v>674</v>
      </c>
      <c r="AG92" s="1" t="s">
        <v>674</v>
      </c>
      <c r="AH92" s="1" t="s">
        <v>702</v>
      </c>
    </row>
    <row r="93" spans="29:34" x14ac:dyDescent="0.2">
      <c r="AC93"/>
      <c r="AF93" s="46" t="s">
        <v>673</v>
      </c>
      <c r="AG93" s="1" t="s">
        <v>673</v>
      </c>
      <c r="AH93" s="1" t="s">
        <v>701</v>
      </c>
    </row>
    <row r="94" spans="29:34" x14ac:dyDescent="0.2">
      <c r="AC94"/>
      <c r="AF94" s="46" t="s">
        <v>672</v>
      </c>
      <c r="AG94" s="1" t="s">
        <v>672</v>
      </c>
      <c r="AH94" s="1" t="s">
        <v>700</v>
      </c>
    </row>
    <row r="95" spans="29:34" x14ac:dyDescent="0.2">
      <c r="AC95"/>
      <c r="AF95" s="46" t="s">
        <v>671</v>
      </c>
      <c r="AG95" s="1" t="s">
        <v>671</v>
      </c>
      <c r="AH95" s="1" t="s">
        <v>699</v>
      </c>
    </row>
    <row r="96" spans="29:34" x14ac:dyDescent="0.2">
      <c r="AC96"/>
      <c r="AF96" s="46" t="s">
        <v>670</v>
      </c>
      <c r="AG96" s="1" t="s">
        <v>670</v>
      </c>
      <c r="AH96" s="1" t="s">
        <v>698</v>
      </c>
    </row>
    <row r="97" spans="29:34" x14ac:dyDescent="0.2">
      <c r="AC97"/>
      <c r="AF97" s="46" t="s">
        <v>669</v>
      </c>
      <c r="AG97" s="1" t="s">
        <v>669</v>
      </c>
      <c r="AH97" s="1" t="s">
        <v>697</v>
      </c>
    </row>
    <row r="98" spans="29:34" x14ac:dyDescent="0.2">
      <c r="AC98"/>
      <c r="AF98" s="46" t="s">
        <v>257</v>
      </c>
      <c r="AG98" s="1" t="s">
        <v>257</v>
      </c>
      <c r="AH98" s="1" t="s">
        <v>383</v>
      </c>
    </row>
    <row r="99" spans="29:34" x14ac:dyDescent="0.2">
      <c r="AC99"/>
      <c r="AF99" s="46" t="s">
        <v>258</v>
      </c>
      <c r="AG99" s="1" t="s">
        <v>258</v>
      </c>
      <c r="AH99" s="1" t="s">
        <v>384</v>
      </c>
    </row>
    <row r="100" spans="29:34" x14ac:dyDescent="0.2">
      <c r="AC100"/>
      <c r="AF100" s="46" t="s">
        <v>259</v>
      </c>
      <c r="AG100" s="1" t="s">
        <v>259</v>
      </c>
      <c r="AH100" s="1" t="s">
        <v>385</v>
      </c>
    </row>
    <row r="101" spans="29:34" x14ac:dyDescent="0.2">
      <c r="AC101"/>
      <c r="AF101" s="46" t="s">
        <v>260</v>
      </c>
      <c r="AG101" s="1" t="s">
        <v>260</v>
      </c>
      <c r="AH101" s="1" t="s">
        <v>386</v>
      </c>
    </row>
    <row r="102" spans="29:34" x14ac:dyDescent="0.2">
      <c r="AC102"/>
      <c r="AF102" s="46" t="s">
        <v>261</v>
      </c>
      <c r="AG102" s="1" t="s">
        <v>261</v>
      </c>
      <c r="AH102" s="1" t="s">
        <v>387</v>
      </c>
    </row>
    <row r="103" spans="29:34" x14ac:dyDescent="0.2">
      <c r="AC103"/>
      <c r="AF103" s="46" t="s">
        <v>262</v>
      </c>
      <c r="AG103" s="1" t="s">
        <v>262</v>
      </c>
      <c r="AH103" s="1" t="s">
        <v>388</v>
      </c>
    </row>
    <row r="104" spans="29:34" x14ac:dyDescent="0.2">
      <c r="AC104"/>
      <c r="AF104" s="46" t="s">
        <v>263</v>
      </c>
      <c r="AG104" s="1" t="s">
        <v>263</v>
      </c>
      <c r="AH104" s="1" t="s">
        <v>389</v>
      </c>
    </row>
    <row r="105" spans="29:34" x14ac:dyDescent="0.2">
      <c r="AC105"/>
      <c r="AF105" s="46" t="s">
        <v>264</v>
      </c>
      <c r="AG105" s="1" t="s">
        <v>264</v>
      </c>
      <c r="AH105" s="1" t="s">
        <v>390</v>
      </c>
    </row>
    <row r="106" spans="29:34" x14ac:dyDescent="0.2">
      <c r="AC106"/>
      <c r="AF106" s="46" t="s">
        <v>265</v>
      </c>
      <c r="AG106" s="1" t="s">
        <v>265</v>
      </c>
      <c r="AH106" s="1" t="s">
        <v>391</v>
      </c>
    </row>
    <row r="107" spans="29:34" x14ac:dyDescent="0.2">
      <c r="AC107"/>
      <c r="AF107" s="46" t="s">
        <v>266</v>
      </c>
      <c r="AG107" s="1" t="s">
        <v>266</v>
      </c>
      <c r="AH107" s="1" t="s">
        <v>392</v>
      </c>
    </row>
    <row r="108" spans="29:34" x14ac:dyDescent="0.2">
      <c r="AC108"/>
      <c r="AF108" s="46" t="s">
        <v>267</v>
      </c>
      <c r="AG108" s="1" t="s">
        <v>267</v>
      </c>
      <c r="AH108" s="1" t="s">
        <v>393</v>
      </c>
    </row>
    <row r="109" spans="29:34" x14ac:dyDescent="0.2">
      <c r="AC109"/>
      <c r="AF109" s="46" t="s">
        <v>268</v>
      </c>
      <c r="AG109" s="1" t="s">
        <v>268</v>
      </c>
      <c r="AH109" s="1" t="s">
        <v>394</v>
      </c>
    </row>
    <row r="110" spans="29:34" x14ac:dyDescent="0.2">
      <c r="AC110"/>
      <c r="AF110" s="46" t="s">
        <v>269</v>
      </c>
      <c r="AG110" s="1" t="s">
        <v>269</v>
      </c>
      <c r="AH110" s="1" t="s">
        <v>395</v>
      </c>
    </row>
    <row r="111" spans="29:34" x14ac:dyDescent="0.2">
      <c r="AC111"/>
      <c r="AF111" s="46" t="s">
        <v>270</v>
      </c>
      <c r="AG111" s="1" t="s">
        <v>270</v>
      </c>
      <c r="AH111" s="1" t="s">
        <v>396</v>
      </c>
    </row>
    <row r="112" spans="29:34" x14ac:dyDescent="0.2">
      <c r="AC112"/>
      <c r="AF112" s="46" t="s">
        <v>271</v>
      </c>
      <c r="AG112" s="1" t="s">
        <v>271</v>
      </c>
      <c r="AH112" s="1" t="s">
        <v>397</v>
      </c>
    </row>
    <row r="113" spans="29:34" x14ac:dyDescent="0.2">
      <c r="AC113"/>
      <c r="AF113" s="46" t="s">
        <v>272</v>
      </c>
      <c r="AG113" s="1" t="s">
        <v>272</v>
      </c>
      <c r="AH113" s="1" t="s">
        <v>398</v>
      </c>
    </row>
    <row r="114" spans="29:34" x14ac:dyDescent="0.2">
      <c r="AC114"/>
      <c r="AF114" s="46" t="s">
        <v>273</v>
      </c>
      <c r="AG114" s="1" t="s">
        <v>273</v>
      </c>
      <c r="AH114" s="1" t="s">
        <v>399</v>
      </c>
    </row>
    <row r="115" spans="29:34" x14ac:dyDescent="0.2">
      <c r="AC115"/>
      <c r="AF115" s="46" t="s">
        <v>274</v>
      </c>
      <c r="AG115" s="1" t="s">
        <v>274</v>
      </c>
      <c r="AH115" s="1" t="s">
        <v>400</v>
      </c>
    </row>
    <row r="116" spans="29:34" x14ac:dyDescent="0.2">
      <c r="AC116"/>
      <c r="AF116" s="46" t="s">
        <v>275</v>
      </c>
      <c r="AG116" s="1" t="s">
        <v>275</v>
      </c>
      <c r="AH116" s="1" t="s">
        <v>401</v>
      </c>
    </row>
    <row r="117" spans="29:34" x14ac:dyDescent="0.2">
      <c r="AC117"/>
      <c r="AF117" s="46" t="s">
        <v>276</v>
      </c>
      <c r="AG117" s="1" t="s">
        <v>276</v>
      </c>
      <c r="AH117" s="1" t="s">
        <v>402</v>
      </c>
    </row>
    <row r="118" spans="29:34" x14ac:dyDescent="0.2">
      <c r="AC118"/>
      <c r="AF118" s="46" t="s">
        <v>277</v>
      </c>
      <c r="AG118" s="1" t="s">
        <v>277</v>
      </c>
      <c r="AH118" s="1" t="s">
        <v>403</v>
      </c>
    </row>
    <row r="119" spans="29:34" x14ac:dyDescent="0.2">
      <c r="AC119"/>
      <c r="AF119" s="46" t="s">
        <v>278</v>
      </c>
      <c r="AG119" s="1" t="s">
        <v>278</v>
      </c>
      <c r="AH119" s="1" t="s">
        <v>404</v>
      </c>
    </row>
    <row r="120" spans="29:34" x14ac:dyDescent="0.2">
      <c r="AC120"/>
      <c r="AF120" s="46" t="s">
        <v>279</v>
      </c>
      <c r="AG120" s="1" t="s">
        <v>279</v>
      </c>
      <c r="AH120" s="1" t="s">
        <v>405</v>
      </c>
    </row>
    <row r="121" spans="29:34" x14ac:dyDescent="0.2">
      <c r="AC121"/>
      <c r="AF121" s="46" t="s">
        <v>280</v>
      </c>
      <c r="AG121" s="1" t="s">
        <v>280</v>
      </c>
      <c r="AH121" s="1" t="s">
        <v>406</v>
      </c>
    </row>
    <row r="122" spans="29:34" x14ac:dyDescent="0.2">
      <c r="AC122"/>
      <c r="AF122" s="46" t="s">
        <v>281</v>
      </c>
      <c r="AG122" s="1" t="s">
        <v>281</v>
      </c>
      <c r="AH122" s="1" t="s">
        <v>407</v>
      </c>
    </row>
    <row r="123" spans="29:34" x14ac:dyDescent="0.2">
      <c r="AC123"/>
      <c r="AF123" s="46" t="s">
        <v>282</v>
      </c>
      <c r="AG123" s="1" t="s">
        <v>282</v>
      </c>
      <c r="AH123" s="1" t="s">
        <v>408</v>
      </c>
    </row>
    <row r="124" spans="29:34" x14ac:dyDescent="0.2">
      <c r="AC124"/>
      <c r="AF124" s="46" t="s">
        <v>283</v>
      </c>
      <c r="AG124" s="1" t="s">
        <v>283</v>
      </c>
      <c r="AH124" s="1" t="s">
        <v>409</v>
      </c>
    </row>
    <row r="125" spans="29:34" x14ac:dyDescent="0.2">
      <c r="AC125"/>
      <c r="AF125" s="46" t="s">
        <v>284</v>
      </c>
      <c r="AG125" s="1" t="s">
        <v>284</v>
      </c>
      <c r="AH125" s="1" t="s">
        <v>410</v>
      </c>
    </row>
    <row r="126" spans="29:34" x14ac:dyDescent="0.2">
      <c r="AC126"/>
      <c r="AF126" s="46" t="s">
        <v>285</v>
      </c>
      <c r="AG126" s="1" t="s">
        <v>285</v>
      </c>
      <c r="AH126" s="1" t="s">
        <v>411</v>
      </c>
    </row>
    <row r="127" spans="29:34" x14ac:dyDescent="0.2">
      <c r="AC127"/>
      <c r="AF127" s="46" t="s">
        <v>286</v>
      </c>
      <c r="AG127" s="1" t="s">
        <v>286</v>
      </c>
      <c r="AH127" s="1" t="s">
        <v>412</v>
      </c>
    </row>
    <row r="128" spans="29:34" x14ac:dyDescent="0.2">
      <c r="AC128"/>
      <c r="AF128" s="46" t="s">
        <v>287</v>
      </c>
      <c r="AG128" s="1" t="s">
        <v>287</v>
      </c>
      <c r="AH128" s="1" t="s">
        <v>413</v>
      </c>
    </row>
    <row r="129" spans="29:34" x14ac:dyDescent="0.2">
      <c r="AC129"/>
      <c r="AF129" s="46" t="s">
        <v>288</v>
      </c>
      <c r="AG129" s="1" t="s">
        <v>288</v>
      </c>
      <c r="AH129" s="1" t="s">
        <v>414</v>
      </c>
    </row>
    <row r="130" spans="29:34" x14ac:dyDescent="0.2">
      <c r="AC130"/>
      <c r="AF130" s="46" t="s">
        <v>668</v>
      </c>
      <c r="AG130" s="1" t="s">
        <v>668</v>
      </c>
      <c r="AH130" s="1" t="s">
        <v>241</v>
      </c>
    </row>
    <row r="131" spans="29:34" x14ac:dyDescent="0.2">
      <c r="AC131"/>
      <c r="AF131" s="46" t="s">
        <v>667</v>
      </c>
      <c r="AG131" s="1" t="s">
        <v>667</v>
      </c>
      <c r="AH131" s="1" t="s">
        <v>696</v>
      </c>
    </row>
    <row r="132" spans="29:34" x14ac:dyDescent="0.2">
      <c r="AC132"/>
      <c r="AF132" s="46" t="s">
        <v>666</v>
      </c>
      <c r="AG132" s="1" t="s">
        <v>666</v>
      </c>
      <c r="AH132" s="1" t="s">
        <v>695</v>
      </c>
    </row>
    <row r="133" spans="29:34" x14ac:dyDescent="0.2">
      <c r="AC133"/>
      <c r="AF133" s="46" t="s">
        <v>289</v>
      </c>
      <c r="AG133" s="1" t="s">
        <v>289</v>
      </c>
      <c r="AH133" s="1" t="s">
        <v>415</v>
      </c>
    </row>
    <row r="134" spans="29:34" x14ac:dyDescent="0.2">
      <c r="AC134"/>
      <c r="AF134" s="46" t="s">
        <v>290</v>
      </c>
      <c r="AG134" s="1" t="s">
        <v>290</v>
      </c>
      <c r="AH134" s="1" t="s">
        <v>416</v>
      </c>
    </row>
    <row r="135" spans="29:34" x14ac:dyDescent="0.2">
      <c r="AC135"/>
      <c r="AF135" s="46" t="s">
        <v>291</v>
      </c>
      <c r="AG135" s="1" t="s">
        <v>291</v>
      </c>
      <c r="AH135" s="1" t="s">
        <v>417</v>
      </c>
    </row>
    <row r="136" spans="29:34" x14ac:dyDescent="0.2">
      <c r="AC136"/>
      <c r="AF136" s="46" t="s">
        <v>292</v>
      </c>
      <c r="AG136" s="1" t="s">
        <v>292</v>
      </c>
      <c r="AH136" s="1" t="s">
        <v>418</v>
      </c>
    </row>
    <row r="137" spans="29:34" x14ac:dyDescent="0.2">
      <c r="AC137"/>
      <c r="AF137" s="46" t="s">
        <v>293</v>
      </c>
      <c r="AG137" s="1" t="s">
        <v>293</v>
      </c>
      <c r="AH137" s="1" t="s">
        <v>419</v>
      </c>
    </row>
    <row r="138" spans="29:34" x14ac:dyDescent="0.2">
      <c r="AC138"/>
      <c r="AF138" s="46" t="s">
        <v>294</v>
      </c>
      <c r="AG138" s="1" t="s">
        <v>294</v>
      </c>
      <c r="AH138" s="1" t="s">
        <v>420</v>
      </c>
    </row>
    <row r="139" spans="29:34" x14ac:dyDescent="0.2">
      <c r="AC139"/>
      <c r="AF139" s="46" t="s">
        <v>295</v>
      </c>
      <c r="AG139" s="1" t="s">
        <v>295</v>
      </c>
      <c r="AH139" s="1" t="s">
        <v>421</v>
      </c>
    </row>
    <row r="140" spans="29:34" x14ac:dyDescent="0.2">
      <c r="AC140"/>
      <c r="AF140" s="46" t="s">
        <v>296</v>
      </c>
      <c r="AG140" s="1" t="s">
        <v>296</v>
      </c>
      <c r="AH140" s="1" t="s">
        <v>422</v>
      </c>
    </row>
    <row r="141" spans="29:34" x14ac:dyDescent="0.2">
      <c r="AC141"/>
      <c r="AF141" s="46" t="s">
        <v>665</v>
      </c>
      <c r="AG141" s="1" t="s">
        <v>665</v>
      </c>
      <c r="AH141" s="1" t="s">
        <v>250</v>
      </c>
    </row>
    <row r="142" spans="29:34" x14ac:dyDescent="0.2">
      <c r="AC142"/>
      <c r="AF142" s="46" t="s">
        <v>664</v>
      </c>
      <c r="AG142" s="1" t="s">
        <v>664</v>
      </c>
      <c r="AH142" s="1" t="s">
        <v>694</v>
      </c>
    </row>
    <row r="143" spans="29:34" x14ac:dyDescent="0.2">
      <c r="AC143"/>
      <c r="AF143" s="46" t="s">
        <v>663</v>
      </c>
      <c r="AG143" s="1" t="s">
        <v>663</v>
      </c>
      <c r="AH143" s="1" t="s">
        <v>693</v>
      </c>
    </row>
    <row r="144" spans="29:34" x14ac:dyDescent="0.2">
      <c r="AC144"/>
      <c r="AF144" s="46" t="s">
        <v>297</v>
      </c>
      <c r="AG144" s="1" t="s">
        <v>297</v>
      </c>
      <c r="AH144" s="1" t="s">
        <v>423</v>
      </c>
    </row>
    <row r="145" spans="29:34" x14ac:dyDescent="0.2">
      <c r="AC145"/>
      <c r="AF145" s="46" t="s">
        <v>298</v>
      </c>
      <c r="AG145" s="1" t="s">
        <v>298</v>
      </c>
      <c r="AH145" s="1" t="s">
        <v>424</v>
      </c>
    </row>
    <row r="146" spans="29:34" x14ac:dyDescent="0.2">
      <c r="AC146"/>
      <c r="AF146" s="46" t="s">
        <v>299</v>
      </c>
      <c r="AG146" s="1" t="s">
        <v>299</v>
      </c>
      <c r="AH146" s="1" t="s">
        <v>425</v>
      </c>
    </row>
    <row r="147" spans="29:34" x14ac:dyDescent="0.2">
      <c r="AC147"/>
      <c r="AF147" s="46" t="s">
        <v>300</v>
      </c>
      <c r="AG147" s="1" t="s">
        <v>300</v>
      </c>
      <c r="AH147" s="1" t="s">
        <v>426</v>
      </c>
    </row>
    <row r="148" spans="29:34" x14ac:dyDescent="0.2">
      <c r="AC148"/>
      <c r="AF148" s="46" t="s">
        <v>301</v>
      </c>
      <c r="AG148" s="1" t="s">
        <v>301</v>
      </c>
      <c r="AH148" s="1" t="s">
        <v>427</v>
      </c>
    </row>
    <row r="149" spans="29:34" x14ac:dyDescent="0.2">
      <c r="AC149"/>
      <c r="AF149" s="46" t="s">
        <v>302</v>
      </c>
      <c r="AG149" s="1" t="s">
        <v>302</v>
      </c>
      <c r="AH149" s="1" t="s">
        <v>428</v>
      </c>
    </row>
    <row r="150" spans="29:34" x14ac:dyDescent="0.2">
      <c r="AC150"/>
      <c r="AF150" s="46" t="s">
        <v>303</v>
      </c>
      <c r="AG150" s="1" t="s">
        <v>303</v>
      </c>
      <c r="AH150" s="1" t="s">
        <v>429</v>
      </c>
    </row>
    <row r="151" spans="29:34" x14ac:dyDescent="0.2">
      <c r="AC151"/>
      <c r="AF151" s="46" t="s">
        <v>304</v>
      </c>
      <c r="AG151" s="1" t="s">
        <v>304</v>
      </c>
      <c r="AH151" s="1" t="s">
        <v>430</v>
      </c>
    </row>
    <row r="152" spans="29:34" x14ac:dyDescent="0.2">
      <c r="AC152"/>
    </row>
    <row r="153" spans="29:34" x14ac:dyDescent="0.2">
      <c r="AC153"/>
    </row>
    <row r="154" spans="29:34" x14ac:dyDescent="0.2">
      <c r="AC154"/>
    </row>
    <row r="155" spans="29:34" x14ac:dyDescent="0.2">
      <c r="AC155"/>
    </row>
  </sheetData>
  <sortState xmlns:xlrd2="http://schemas.microsoft.com/office/spreadsheetml/2017/richdata2" ref="AC2:AC1048576">
    <sortCondition ref="AC2:AC1048576"/>
  </sortState>
  <mergeCells count="2">
    <mergeCell ref="AK1:AM1"/>
    <mergeCell ref="AO1:AQ1"/>
  </mergeCells>
  <phoneticPr fontId="72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:BL17"/>
  <sheetViews>
    <sheetView workbookViewId="0">
      <pane ySplit="2" topLeftCell="A3" activePane="bottomLeft" state="frozen"/>
      <selection pane="bottomLeft" activeCell="M3" sqref="M3"/>
    </sheetView>
  </sheetViews>
  <sheetFormatPr defaultColWidth="9.28515625" defaultRowHeight="15" customHeight="1" x14ac:dyDescent="0.2"/>
  <cols>
    <col min="1" max="1" width="6" style="64" customWidth="1"/>
    <col min="2" max="2" width="27.42578125" style="142" customWidth="1"/>
    <col min="3" max="3" width="10.85546875" style="64" customWidth="1"/>
    <col min="4" max="4" width="34.140625" style="229" customWidth="1"/>
    <col min="5" max="5" width="12.140625" style="64" customWidth="1"/>
    <col min="6" max="6" width="10.5703125" style="64" customWidth="1"/>
    <col min="7" max="7" width="5.5703125" style="64" customWidth="1"/>
    <col min="8" max="8" width="9.140625" style="215" customWidth="1"/>
    <col min="9" max="9" width="7.28515625" style="100" customWidth="1"/>
    <col min="10" max="10" width="9.28515625" style="64" customWidth="1"/>
    <col min="11" max="11" width="7.28515625" style="100" customWidth="1"/>
    <col min="12" max="13" width="9.28515625" style="64" customWidth="1"/>
    <col min="14" max="14" width="10.7109375" style="64" customWidth="1"/>
    <col min="15" max="15" width="8.5703125" style="64" hidden="1" customWidth="1"/>
    <col min="16" max="16" width="11" style="64" customWidth="1"/>
    <col min="17" max="17" width="11.7109375" style="64" hidden="1" customWidth="1"/>
    <col min="18" max="18" width="9.28515625" style="64" hidden="1" customWidth="1"/>
    <col min="19" max="21" width="9.28515625" style="98" hidden="1" customWidth="1"/>
    <col min="22" max="22" width="9.28515625" style="99" hidden="1" customWidth="1"/>
    <col min="23" max="27" width="9.28515625" style="98" hidden="1" customWidth="1"/>
    <col min="28" max="30" width="9.28515625" hidden="1" customWidth="1"/>
    <col min="31" max="32" width="9.28515625" style="98" hidden="1" customWidth="1"/>
    <col min="33" max="128" width="0" style="98" hidden="1" customWidth="1"/>
    <col min="129" max="133" width="9.28515625" style="98" customWidth="1"/>
    <col min="134" max="134" width="8.140625" style="98" customWidth="1"/>
    <col min="135" max="135" width="6.85546875" style="98" customWidth="1"/>
    <col min="136" max="136" width="6.7109375" style="98" customWidth="1"/>
    <col min="137" max="137" width="8.42578125" style="98" customWidth="1"/>
    <col min="138" max="138" width="11.7109375" style="98" customWidth="1"/>
    <col min="139" max="139" width="10.28515625" style="98" customWidth="1"/>
    <col min="140" max="140" width="8" style="98" customWidth="1"/>
    <col min="141" max="141" width="7.7109375" style="98" customWidth="1"/>
    <col min="142" max="142" width="10.28515625" style="98" customWidth="1"/>
    <col min="143" max="143" width="4.5703125" style="98" customWidth="1"/>
    <col min="144" max="144" width="7" style="98" customWidth="1"/>
    <col min="145" max="145" width="6.140625" style="98" customWidth="1"/>
    <col min="146" max="146" width="5.85546875" style="98" customWidth="1"/>
    <col min="147" max="147" width="6.5703125" style="98" customWidth="1"/>
    <col min="148" max="149" width="10.5703125" style="98" customWidth="1"/>
    <col min="150" max="150" width="7.5703125" style="98" customWidth="1"/>
    <col min="151" max="151" width="10" style="98" customWidth="1"/>
    <col min="152" max="152" width="8.7109375" style="98" customWidth="1"/>
    <col min="153" max="153" width="9.42578125" style="98" customWidth="1"/>
    <col min="154" max="154" width="12.5703125" style="98" customWidth="1"/>
    <col min="155" max="155" width="11.140625" style="98" customWidth="1"/>
    <col min="156" max="16384" width="9.28515625" style="98"/>
  </cols>
  <sheetData>
    <row r="1" spans="1:64" customFormat="1" ht="42.75" customHeight="1" x14ac:dyDescent="0.2">
      <c r="A1" s="1"/>
      <c r="B1" s="36"/>
      <c r="C1" s="1"/>
      <c r="D1" s="301" t="s">
        <v>1081</v>
      </c>
      <c r="E1" s="265" t="s">
        <v>1077</v>
      </c>
      <c r="F1" s="303" t="s">
        <v>1078</v>
      </c>
      <c r="G1" s="338"/>
      <c r="H1" s="339" t="s">
        <v>1225</v>
      </c>
      <c r="I1" s="104"/>
      <c r="J1" s="1"/>
      <c r="K1" s="104"/>
      <c r="L1" s="1"/>
      <c r="M1" s="1"/>
      <c r="N1" s="302" t="s">
        <v>1076</v>
      </c>
      <c r="O1" s="1"/>
      <c r="P1" s="1"/>
      <c r="Q1" s="1"/>
      <c r="R1" s="1"/>
      <c r="S1" s="98"/>
      <c r="T1" s="98"/>
      <c r="U1" s="98"/>
      <c r="V1" s="99"/>
      <c r="W1" s="98"/>
      <c r="X1" s="98"/>
      <c r="Y1" s="98"/>
      <c r="Z1" s="98">
        <v>4</v>
      </c>
      <c r="AA1" s="98"/>
    </row>
    <row r="2" spans="1:64" s="355" customFormat="1" ht="27" customHeight="1" x14ac:dyDescent="0.2">
      <c r="A2" s="348" t="s">
        <v>1070</v>
      </c>
      <c r="B2" s="349" t="s">
        <v>1071</v>
      </c>
      <c r="C2" s="350"/>
      <c r="D2" s="351" t="s">
        <v>1082</v>
      </c>
      <c r="E2" s="350" t="s">
        <v>17</v>
      </c>
      <c r="F2" s="352" t="s">
        <v>1073</v>
      </c>
      <c r="G2" s="353" t="s">
        <v>57</v>
      </c>
      <c r="H2" s="354" t="s">
        <v>1074</v>
      </c>
      <c r="I2" s="351" t="s">
        <v>1272</v>
      </c>
      <c r="J2" s="350" t="str">
        <f>CONCATENATE("SQ-1 (",T2,")")</f>
        <v>SQ-1 (Kg)</v>
      </c>
      <c r="K2" s="351" t="s">
        <v>1273</v>
      </c>
      <c r="L2" s="350" t="str">
        <f>CONCATENATE("BP-1 (",T2,")")</f>
        <v>BP-1 (Kg)</v>
      </c>
      <c r="M2" s="350" t="str">
        <f>CONCATENATE("DL-1 (",T2,")")</f>
        <v>DL-1 (Kg)</v>
      </c>
      <c r="N2" s="350" t="s">
        <v>1075</v>
      </c>
      <c r="O2" s="350" t="s">
        <v>468</v>
      </c>
      <c r="P2" s="350" t="s">
        <v>305</v>
      </c>
      <c r="Q2" s="350" t="s">
        <v>660</v>
      </c>
      <c r="R2" s="350"/>
      <c r="T2" s="356" t="str">
        <f>Setup!G15</f>
        <v>Kg</v>
      </c>
      <c r="U2" s="356">
        <f>COUNTA(F:F)+1</f>
        <v>3</v>
      </c>
      <c r="V2" s="357" t="str">
        <f>CONCATENATE("Setup!I6:I",COUNTA(Setup!I:I)+3)</f>
        <v>Setup!I6:I37</v>
      </c>
      <c r="W2" s="357" t="str">
        <f>CONCATENATE("Setup!M6:M",COUNTA(Setup!M:M)+3)</f>
        <v>Setup!M6:M5</v>
      </c>
      <c r="X2" s="357" t="str">
        <f>CONCATENATE("Setup!Q5:Q",COUNTA(Setup!Q:Q)+4)</f>
        <v>Setup!Q5:Q9</v>
      </c>
      <c r="Y2" s="357" t="str">
        <f>CONCATENATE("DATA!$M$2:$M$61")</f>
        <v>DATA!$M$2:$M$61</v>
      </c>
      <c r="Z2" s="357">
        <v>2</v>
      </c>
      <c r="AA2" s="358">
        <f>COUNTA(F:F)+1</f>
        <v>3</v>
      </c>
      <c r="AE2" s="359"/>
      <c r="AF2" s="359"/>
      <c r="AG2" s="359"/>
      <c r="AH2" s="359"/>
      <c r="AI2" s="359"/>
      <c r="AJ2" s="359"/>
      <c r="AK2" s="359"/>
      <c r="AL2" s="359"/>
      <c r="AM2" s="359"/>
      <c r="AN2" s="360" t="s">
        <v>61</v>
      </c>
      <c r="AO2" s="360" t="s">
        <v>62</v>
      </c>
      <c r="AP2" s="359"/>
      <c r="AQ2" s="359"/>
      <c r="AR2" s="359"/>
      <c r="AS2" s="359"/>
      <c r="AT2" s="359"/>
      <c r="AU2" s="359"/>
      <c r="AV2" s="359"/>
      <c r="AW2" s="359"/>
      <c r="AX2" s="359"/>
      <c r="AY2" s="360" t="s">
        <v>28</v>
      </c>
      <c r="AZ2" s="360" t="s">
        <v>32</v>
      </c>
      <c r="BA2" s="360" t="s">
        <v>36</v>
      </c>
      <c r="BB2" s="360" t="s">
        <v>63</v>
      </c>
      <c r="BC2" s="360" t="s">
        <v>59</v>
      </c>
      <c r="BD2" s="360" t="s">
        <v>39</v>
      </c>
      <c r="BE2" s="360" t="s">
        <v>41</v>
      </c>
      <c r="BF2" s="360" t="s">
        <v>42</v>
      </c>
      <c r="BG2" s="360" t="s">
        <v>64</v>
      </c>
      <c r="BH2" s="360" t="s">
        <v>65</v>
      </c>
      <c r="BI2" s="360" t="s">
        <v>43</v>
      </c>
      <c r="BJ2" s="360" t="s">
        <v>44</v>
      </c>
      <c r="BK2" s="360" t="s">
        <v>45</v>
      </c>
      <c r="BL2" s="360" t="s">
        <v>66</v>
      </c>
    </row>
    <row r="3" spans="1:64" ht="15" customHeight="1" x14ac:dyDescent="0.2">
      <c r="A3" s="68"/>
      <c r="B3" s="345"/>
      <c r="D3" s="346"/>
    </row>
    <row r="4" spans="1:64" ht="15" customHeight="1" x14ac:dyDescent="0.2">
      <c r="A4" s="68"/>
      <c r="B4" s="345"/>
      <c r="D4" s="346"/>
    </row>
    <row r="5" spans="1:64" ht="15" customHeight="1" x14ac:dyDescent="0.2">
      <c r="A5" s="68"/>
      <c r="B5" s="345"/>
      <c r="D5" s="346"/>
    </row>
    <row r="6" spans="1:64" ht="15" customHeight="1" x14ac:dyDescent="0.2">
      <c r="A6" s="68"/>
      <c r="B6" s="345"/>
      <c r="D6" s="346"/>
    </row>
    <row r="7" spans="1:64" ht="15" customHeight="1" x14ac:dyDescent="0.2">
      <c r="A7" s="68"/>
      <c r="B7" s="345"/>
      <c r="D7" s="346"/>
    </row>
    <row r="8" spans="1:64" ht="15" customHeight="1" x14ac:dyDescent="0.2">
      <c r="A8" s="68"/>
      <c r="B8" s="345"/>
      <c r="D8" s="346"/>
    </row>
    <row r="9" spans="1:64" ht="15" customHeight="1" x14ac:dyDescent="0.2">
      <c r="A9" s="68"/>
      <c r="B9" s="345"/>
      <c r="D9" s="346"/>
    </row>
    <row r="10" spans="1:64" ht="15" customHeight="1" x14ac:dyDescent="0.2">
      <c r="A10" s="68"/>
      <c r="B10" s="345"/>
      <c r="D10" s="346"/>
    </row>
    <row r="11" spans="1:64" ht="15" customHeight="1" x14ac:dyDescent="0.2">
      <c r="A11" s="68"/>
      <c r="B11" s="345"/>
      <c r="D11" s="346"/>
    </row>
    <row r="12" spans="1:64" ht="15" customHeight="1" x14ac:dyDescent="0.2">
      <c r="A12" s="68"/>
      <c r="B12" s="345"/>
      <c r="D12" s="346"/>
    </row>
    <row r="13" spans="1:64" ht="15" customHeight="1" x14ac:dyDescent="0.2">
      <c r="A13" s="68"/>
      <c r="B13" s="345"/>
      <c r="D13" s="346"/>
    </row>
    <row r="14" spans="1:64" ht="15" customHeight="1" x14ac:dyDescent="0.2">
      <c r="A14" s="68"/>
      <c r="B14" s="345"/>
      <c r="D14" s="346"/>
    </row>
    <row r="15" spans="1:64" ht="15" customHeight="1" x14ac:dyDescent="0.2">
      <c r="A15" s="68"/>
      <c r="B15" s="345"/>
      <c r="D15" s="346"/>
    </row>
    <row r="16" spans="1:64" ht="15" customHeight="1" x14ac:dyDescent="0.2">
      <c r="A16" s="68"/>
      <c r="B16" s="345"/>
      <c r="D16" s="346"/>
    </row>
    <row r="17" spans="1:4" ht="15" customHeight="1" x14ac:dyDescent="0.2">
      <c r="A17" s="68"/>
      <c r="B17" s="345"/>
      <c r="D17" s="346"/>
    </row>
  </sheetData>
  <sheetProtection selectLockedCells="1"/>
  <phoneticPr fontId="72"/>
  <conditionalFormatting sqref="A18:P1048576 I3:P17">
    <cfRule type="expression" dxfId="135" priority="6">
      <formula>CELL("ROW")=ROW()</formula>
    </cfRule>
  </conditionalFormatting>
  <conditionalFormatting sqref="A3:H17">
    <cfRule type="expression" dxfId="134" priority="2" stopIfTrue="1">
      <formula>AND(ROW(A3)=$Z$1,COLUMN(A3)=$Z$2)</formula>
    </cfRule>
    <cfRule type="expression" dxfId="133" priority="3" stopIfTrue="1">
      <formula>OR(AND(ROW(A3)=$Z$1,COLUMN(A3)&lt;$Z$2),AND(ROW(A3)&lt;$Z$1,COLUMN(A3)=$Z$2))</formula>
    </cfRule>
  </conditionalFormatting>
  <dataValidations xWindow="675" yWindow="403" count="8">
    <dataValidation type="list" allowBlank="1" showInputMessage="1" showErrorMessage="1" sqref="A18:A63116" xr:uid="{00000000-0002-0000-0300-000000000000}">
      <formula1>INDIRECT($X$2)</formula1>
    </dataValidation>
    <dataValidation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_x000a_Must be UPPER CASE LETTERS" sqref="N330:N63116" xr:uid="{00000000-0002-0000-0300-000001000000}"/>
    <dataValidation type="list" allowBlank="1" showErrorMessage="1" promptTitle="Events Entered" prompt="Typw in the approapriate 2-lletter code to indicate the Evetns the lifter will be competing in_x000a_PL = Powerlifting (3-lift)_x000a_BP = Benvch  Press_x000a_DL= Deadlift_x000a_PP = Push/Pull (BP + DL)" sqref="P3:P1048576" xr:uid="{00000000-0002-0000-0300-000003000000}">
      <formula1>"Yes,No"</formula1>
    </dataValidation>
    <dataValidation type="custom" errorStyle="warning" allowBlank="1" showInputMessage="1" showErrorMessage="1" errorTitle="Check Entered Weight" error="Must be a multiple of 2.5 kg/5 lb unless this is a World Record attempt" sqref="J3:J63116 L3:M63116" xr:uid="{00000000-0002-0000-0300-000004000000}">
      <formula1>AND(MOD(J3,IF($T$2="Lb",5,2.5))=0)</formula1>
    </dataValidation>
    <dataValidation type="list" allowBlank="1" showDropDown="1" showInputMessage="1" showErrorMessage="1" sqref="O3:O1048576" xr:uid="{00000000-0002-0000-0300-000005000000}">
      <formula1>INDIRECT($Y$2)</formula1>
    </dataValidation>
    <dataValidation type="list" allowBlank="1" showInputMessage="1" showErrorMessage="1" sqref="A3:A17" xr:uid="{CADB88E2-8EFC-4A99-8335-FB3F5889611A}">
      <formula1>"A,B,C,D,E,F,G,H"</formula1>
    </dataValidation>
    <dataValidation type="list"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_x000a_Must be UPPER CASE LETTERS" sqref="N3:N329" xr:uid="{00000000-0002-0000-0300-000007000000}">
      <formula1>"PL"</formula1>
    </dataValidation>
    <dataValidation type="list" allowBlank="1" showErrorMessage="1" errorTitle="Divsion Error" error="The division must be in the list on the Setup sheet." promptTitle="Division" prompt="Use the pulldown list to ensur" sqref="E3:E1048576" xr:uid="{00000000-0002-0000-0300-000002000000}">
      <formula1>INDIRECT($V$2)</formula1>
    </dataValidation>
  </dataValidation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F0000"/>
  </sheetPr>
  <dimension ref="A1:CG262"/>
  <sheetViews>
    <sheetView showGridLines="0" showRowColHeaders="0" tabSelected="1" zoomScaleNormal="100" workbookViewId="0">
      <pane xSplit="8" ySplit="12" topLeftCell="J13" activePane="bottomRight" state="frozen"/>
      <selection pane="topRight" activeCell="I1" sqref="I1"/>
      <selection pane="bottomLeft" activeCell="A13" sqref="A13"/>
      <selection pane="bottomRight" activeCell="A11" sqref="A11"/>
    </sheetView>
  </sheetViews>
  <sheetFormatPr defaultColWidth="8.7109375" defaultRowHeight="12.75" x14ac:dyDescent="0.2"/>
  <cols>
    <col min="1" max="1" width="5.28515625" customWidth="1"/>
    <col min="2" max="2" width="21.7109375" customWidth="1"/>
    <col min="3" max="3" width="24.5703125" customWidth="1"/>
    <col min="4" max="4" width="9.7109375" customWidth="1"/>
    <col min="5" max="6" width="7.42578125" customWidth="1"/>
    <col min="7" max="7" width="5.7109375" customWidth="1"/>
    <col min="8" max="8" width="8.85546875" style="134" customWidth="1"/>
    <col min="9" max="9" width="11" style="134" hidden="1" customWidth="1"/>
    <col min="10" max="10" width="9.5703125" style="39" customWidth="1"/>
    <col min="11" max="11" width="7.5703125" customWidth="1"/>
    <col min="12" max="12" width="7.140625" customWidth="1"/>
    <col min="13" max="13" width="8.5703125" customWidth="1"/>
    <col min="14" max="14" width="8.85546875" customWidth="1"/>
    <col min="15" max="15" width="7.7109375" style="39" hidden="1" customWidth="1"/>
    <col min="16" max="16" width="7.7109375" customWidth="1"/>
    <col min="17" max="18" width="7.7109375" hidden="1" customWidth="1"/>
    <col min="19" max="20" width="8.85546875" hidden="1" customWidth="1"/>
    <col min="21" max="21" width="7.7109375" customWidth="1"/>
    <col min="22" max="23" width="7.7109375" hidden="1" customWidth="1"/>
    <col min="24" max="24" width="8.85546875" hidden="1" customWidth="1"/>
    <col min="25" max="25" width="8.85546875" customWidth="1"/>
    <col min="26" max="26" width="9.5703125" customWidth="1"/>
    <col min="27" max="27" width="9.7109375" style="221" customWidth="1"/>
    <col min="28" max="28" width="6.7109375" customWidth="1"/>
    <col min="29" max="29" width="15.7109375" style="221" customWidth="1"/>
    <col min="30" max="30" width="9.28515625" style="221" customWidth="1"/>
    <col min="31" max="31" width="9.28515625" customWidth="1"/>
    <col min="32" max="32" width="8.28515625" hidden="1" customWidth="1"/>
    <col min="33" max="33" width="7.42578125" hidden="1" customWidth="1"/>
    <col min="34" max="34" width="9.28515625" hidden="1" customWidth="1"/>
    <col min="35" max="35" width="15" style="38" hidden="1" customWidth="1"/>
    <col min="36" max="39" width="9.28515625" hidden="1" customWidth="1"/>
    <col min="40" max="40" width="11.28515625" style="133" hidden="1" customWidth="1"/>
    <col min="41" max="41" width="9.28515625" hidden="1" customWidth="1"/>
    <col min="42" max="42" width="21" style="38" hidden="1" customWidth="1"/>
    <col min="43" max="51" width="9.28515625" hidden="1" customWidth="1"/>
    <col min="52" max="53" width="9.28515625" style="71" hidden="1" customWidth="1"/>
    <col min="54" max="54" width="9.28515625" hidden="1" customWidth="1"/>
    <col min="55" max="55" width="13" hidden="1" customWidth="1"/>
    <col min="56" max="58" width="9.28515625" hidden="1" customWidth="1"/>
    <col min="59" max="59" width="10.7109375" style="57" hidden="1" customWidth="1"/>
    <col min="60" max="60" width="10.28515625" hidden="1" customWidth="1"/>
    <col min="61" max="77" width="9.28515625" hidden="1" customWidth="1"/>
    <col min="78" max="78" width="11.85546875" hidden="1" customWidth="1"/>
    <col min="79" max="79" width="9.28515625" hidden="1" customWidth="1"/>
    <col min="80" max="80" width="10.28515625" hidden="1" customWidth="1"/>
    <col min="81" max="83" width="9.28515625" hidden="1" customWidth="1"/>
    <col min="84" max="84" width="8.7109375" hidden="1" customWidth="1"/>
    <col min="85" max="85" width="13" bestFit="1" customWidth="1"/>
  </cols>
  <sheetData>
    <row r="1" spans="1:85" ht="67.5" customHeight="1" x14ac:dyDescent="0.3">
      <c r="A1" s="412" t="s">
        <v>1286</v>
      </c>
      <c r="B1" s="413"/>
      <c r="C1" s="413"/>
      <c r="D1" s="413"/>
      <c r="E1" s="413"/>
      <c r="F1" s="413"/>
      <c r="G1" s="182"/>
      <c r="H1" s="434"/>
      <c r="AA1" s="274"/>
      <c r="AB1" s="299" t="s">
        <v>1065</v>
      </c>
      <c r="AC1" s="294"/>
      <c r="AD1" s="295"/>
      <c r="AE1" s="295"/>
      <c r="AJ1" t="s">
        <v>905</v>
      </c>
      <c r="AK1" t="s">
        <v>906</v>
      </c>
      <c r="AM1" t="s">
        <v>73</v>
      </c>
      <c r="AN1" s="133" t="s">
        <v>141</v>
      </c>
      <c r="AO1" t="s">
        <v>70</v>
      </c>
      <c r="AP1" s="109"/>
      <c r="AQ1" s="110"/>
      <c r="AR1" s="110"/>
      <c r="AS1" s="110"/>
      <c r="AT1" s="110"/>
      <c r="BC1" s="110"/>
      <c r="BD1" s="110"/>
      <c r="BE1" s="110"/>
    </row>
    <row r="2" spans="1:85" ht="34.5" customHeight="1" x14ac:dyDescent="0.5">
      <c r="A2" s="418" t="str">
        <f ca="1">IFERROR(VLOOKUP(INDIRECT(ADDRESS(MATCH(A1,INDIRECT(CONCATENATE("B12:B50")),0)+11,4)),Setup!I1:J199,2,FALSE),"-")</f>
        <v>Raw Men (19-23)</v>
      </c>
      <c r="B2" s="419"/>
      <c r="C2" s="420"/>
      <c r="D2" s="414" t="str">
        <f ca="1">INDIRECT(CONCATENATE("F",MATCH(A1,B:B,0)))</f>
        <v>74</v>
      </c>
      <c r="E2" s="415"/>
      <c r="F2" s="168" t="str">
        <f>CONCATENATE(RIGHT(E11,2)," Cls")</f>
        <v>体重 Cls</v>
      </c>
      <c r="G2" s="183"/>
      <c r="H2" s="434"/>
      <c r="AA2" s="273"/>
      <c r="AB2" s="298" t="s">
        <v>1067</v>
      </c>
      <c r="AC2" s="297" t="s">
        <v>1250</v>
      </c>
      <c r="AD2" s="295"/>
      <c r="AE2" s="298" t="s">
        <v>1068</v>
      </c>
      <c r="AF2" s="300">
        <v>17</v>
      </c>
      <c r="AJ2" t="s">
        <v>907</v>
      </c>
      <c r="AK2" t="s">
        <v>908</v>
      </c>
      <c r="AM2" t="s">
        <v>74</v>
      </c>
      <c r="AN2" s="133" t="s">
        <v>142</v>
      </c>
      <c r="AO2" t="s">
        <v>71</v>
      </c>
      <c r="AP2" s="109"/>
      <c r="AQ2" s="110"/>
      <c r="AR2" s="110"/>
      <c r="AS2" s="110"/>
      <c r="AT2" s="110"/>
      <c r="BC2" s="110"/>
      <c r="BD2" s="110"/>
      <c r="BE2" s="110"/>
    </row>
    <row r="3" spans="1:85" ht="35.25" customHeight="1" thickBot="1" x14ac:dyDescent="0.55000000000000004">
      <c r="A3" s="416" t="s">
        <v>27</v>
      </c>
      <c r="B3" s="417"/>
      <c r="C3" s="410">
        <f ca="1">Lists!B36</f>
        <v>70</v>
      </c>
      <c r="D3" s="411"/>
      <c r="E3" s="362" t="str">
        <f>Setup!G15</f>
        <v>Kg</v>
      </c>
      <c r="F3" s="184">
        <f ca="1">IF(E3="Kg",C3*2.2046,C3/2.2046)</f>
        <v>154.322</v>
      </c>
      <c r="G3" s="185" t="str">
        <f>IF(E3="Kg","Lb","Kg")</f>
        <v>Lb</v>
      </c>
      <c r="H3" s="434"/>
      <c r="AA3" s="273"/>
      <c r="AB3" s="298" t="s">
        <v>1066</v>
      </c>
      <c r="AC3" s="300">
        <v>125</v>
      </c>
      <c r="AD3" s="295"/>
      <c r="AE3" s="296"/>
      <c r="AF3" s="117"/>
      <c r="AJ3" t="s">
        <v>909</v>
      </c>
      <c r="AK3" t="s">
        <v>507</v>
      </c>
      <c r="AM3" t="s">
        <v>72</v>
      </c>
      <c r="AN3" s="133" t="s">
        <v>140</v>
      </c>
      <c r="AO3" t="s">
        <v>123</v>
      </c>
      <c r="AP3" s="109"/>
      <c r="AQ3" s="110"/>
      <c r="AR3" s="110"/>
      <c r="AS3" s="110"/>
      <c r="AT3" s="110"/>
      <c r="BC3" s="110"/>
      <c r="BD3" s="110"/>
      <c r="BE3" s="110"/>
    </row>
    <row r="4" spans="1:85" s="72" customFormat="1" ht="18.75" hidden="1" customHeight="1" x14ac:dyDescent="0.3">
      <c r="A4" s="421" t="str">
        <f ca="1">VLOOKUP(INDIRECT(ADDRESS(MATCH(A1,INDIRECT(CONCATENATE("B12:B50")),0)+11,4)),Setup!I5:J92,2,FALSE)</f>
        <v>Raw Men (19-23)</v>
      </c>
      <c r="B4" s="422"/>
      <c r="C4" s="427" t="s">
        <v>163</v>
      </c>
      <c r="D4" s="428"/>
      <c r="E4" s="427" t="str">
        <f>IF(Setup!B9="Powerlifting (3 lift meet)","PL Total","")</f>
        <v>PL Total</v>
      </c>
      <c r="F4" s="429"/>
      <c r="G4" s="225"/>
      <c r="H4" s="135"/>
      <c r="I4" s="135"/>
      <c r="J4" s="73"/>
      <c r="O4" s="73"/>
      <c r="AA4" s="222"/>
      <c r="AB4" s="222"/>
      <c r="AD4" s="222"/>
      <c r="AE4" s="222"/>
      <c r="AI4" s="74"/>
      <c r="AJ4" s="72" t="s">
        <v>910</v>
      </c>
      <c r="AK4" s="72" t="s">
        <v>911</v>
      </c>
      <c r="AM4" t="s">
        <v>76</v>
      </c>
      <c r="AN4" s="133" t="s">
        <v>69</v>
      </c>
      <c r="AO4" s="72" t="s">
        <v>120</v>
      </c>
      <c r="AP4" s="111"/>
      <c r="AQ4" s="112"/>
      <c r="AR4" s="112"/>
      <c r="AS4" s="112"/>
      <c r="AT4" s="112"/>
      <c r="AZ4" s="75"/>
      <c r="BA4" s="75"/>
      <c r="BC4" s="112"/>
      <c r="BD4" s="112"/>
      <c r="BE4" s="112"/>
      <c r="BG4" s="76"/>
    </row>
    <row r="5" spans="1:85" s="72" customFormat="1" ht="18.75" hidden="1" customHeight="1" x14ac:dyDescent="0.3">
      <c r="A5" s="423" t="s">
        <v>787</v>
      </c>
      <c r="B5" s="424"/>
      <c r="C5" s="430">
        <f ca="1">IFERROR(Lists!F51,10000)</f>
        <v>327.5</v>
      </c>
      <c r="D5" s="424"/>
      <c r="E5" s="430">
        <f>IF(OR(E4="",LEFT(A3,1)="S",LEFT(A3,1)="B"),10000,IFERROR(Lists!F53,10000))</f>
        <v>10000</v>
      </c>
      <c r="F5" s="431"/>
      <c r="G5" s="225"/>
      <c r="H5" s="135"/>
      <c r="I5" s="135"/>
      <c r="J5" s="73"/>
      <c r="O5" s="73"/>
      <c r="AA5" s="222"/>
      <c r="AB5" s="222"/>
      <c r="AD5" s="222"/>
      <c r="AE5" s="222"/>
      <c r="AI5" s="74"/>
      <c r="AM5" t="s">
        <v>138</v>
      </c>
      <c r="AN5" s="133" t="s">
        <v>139</v>
      </c>
      <c r="AP5" s="111"/>
      <c r="AQ5" s="112"/>
      <c r="AR5" s="112"/>
      <c r="AS5" s="112"/>
      <c r="AT5" s="112"/>
      <c r="AZ5" s="75"/>
      <c r="BA5" s="75"/>
      <c r="BC5" s="112"/>
      <c r="BD5" s="112"/>
      <c r="BE5" s="112"/>
      <c r="BG5" s="76"/>
    </row>
    <row r="6" spans="1:85" s="72" customFormat="1" ht="18.75" hidden="1" customHeight="1" thickBot="1" x14ac:dyDescent="0.35">
      <c r="A6" s="425" t="str">
        <f ca="1">IFERROR(IF(INDIRECT(ADDRESS(MATCH(A1,INDIRECT(CONCATENATE("B12:B40")),0)+11,9))="","O",VLOOKUP(INDIRECT(ADDRESS(MATCH(A1,INDIRECT(CONCATENATE("B12:B40")),0)+11,45)),DATA!E35:F53,2)),"")</f>
        <v>M6</v>
      </c>
      <c r="B6" s="426"/>
      <c r="C6" s="432">
        <f ca="1">IFERROR(IF(A6="O",10000,Lists!E51),10000)</f>
        <v>0</v>
      </c>
      <c r="D6" s="426"/>
      <c r="E6" s="432">
        <f>IF(OR(E4="",LEFT(A3,1)="S",LEFT(A3,1)="B"),10000,IFERROR(IF(A6="O",10000,Lists!E53),10000))</f>
        <v>10000</v>
      </c>
      <c r="F6" s="433"/>
      <c r="G6" s="225"/>
      <c r="H6" s="135"/>
      <c r="I6" s="135"/>
      <c r="J6" s="73"/>
      <c r="O6" s="73"/>
      <c r="AA6" s="222"/>
      <c r="AB6" s="222"/>
      <c r="AD6" s="222"/>
      <c r="AE6" s="222"/>
      <c r="AI6" s="74"/>
      <c r="AM6" t="s">
        <v>816</v>
      </c>
      <c r="AN6" s="133" t="s">
        <v>816</v>
      </c>
      <c r="AP6" s="111"/>
      <c r="AQ6" s="112"/>
      <c r="AR6" s="112"/>
      <c r="AS6" s="112"/>
      <c r="AT6" s="112"/>
      <c r="AZ6" s="75"/>
      <c r="BA6" s="75"/>
      <c r="BC6" s="112"/>
      <c r="BD6" s="112"/>
      <c r="BE6" s="112"/>
      <c r="BG6" s="76"/>
    </row>
    <row r="7" spans="1:85" ht="21" customHeight="1" thickBot="1" x14ac:dyDescent="0.25">
      <c r="A7" s="190"/>
      <c r="B7" s="191" t="s">
        <v>1171</v>
      </c>
      <c r="C7" s="192" t="s">
        <v>1069</v>
      </c>
      <c r="D7" s="193" t="s">
        <v>145</v>
      </c>
      <c r="E7" s="194" t="s">
        <v>323</v>
      </c>
      <c r="F7" s="195" t="s">
        <v>661</v>
      </c>
      <c r="G7" s="212">
        <v>1</v>
      </c>
      <c r="I7" s="137"/>
      <c r="N7" s="71"/>
      <c r="AB7" s="221"/>
      <c r="AC7"/>
      <c r="AE7" s="221"/>
      <c r="AM7" t="s">
        <v>818</v>
      </c>
      <c r="AN7" s="133" t="s">
        <v>817</v>
      </c>
      <c r="AP7" s="109"/>
      <c r="AQ7" s="110"/>
      <c r="AR7" s="139">
        <v>44892</v>
      </c>
      <c r="AS7" s="110"/>
      <c r="AT7" s="110"/>
      <c r="BC7" s="110"/>
      <c r="BD7" s="110"/>
      <c r="BE7" s="110"/>
      <c r="BO7" t="s">
        <v>308</v>
      </c>
      <c r="BP7" t="s">
        <v>328</v>
      </c>
    </row>
    <row r="8" spans="1:85" hidden="1" x14ac:dyDescent="0.2">
      <c r="A8" s="186"/>
      <c r="B8" s="187"/>
      <c r="C8" s="188" t="str">
        <f>CONCATENATE("Setup!Q5:Q",COUNTA(Setup!Q:Q)+4)</f>
        <v>Setup!Q5:Q9</v>
      </c>
      <c r="D8" s="43"/>
      <c r="E8" s="186"/>
      <c r="F8" s="189" t="s">
        <v>321</v>
      </c>
      <c r="G8" s="43">
        <f>IF(Setup!G15="Kg",0.5,1)</f>
        <v>0.5</v>
      </c>
      <c r="H8" s="213">
        <v>4.1666666666666664E-2</v>
      </c>
      <c r="AP8" s="109"/>
      <c r="AQ8" s="110"/>
      <c r="AR8" s="110"/>
      <c r="AS8" s="110"/>
      <c r="AT8" s="110"/>
      <c r="BC8" s="110"/>
      <c r="BD8" s="110"/>
      <c r="BE8" s="110"/>
      <c r="BH8" s="63"/>
    </row>
    <row r="9" spans="1:85" hidden="1" x14ac:dyDescent="0.2">
      <c r="A9" s="68"/>
      <c r="B9" s="69"/>
      <c r="C9" s="82" t="str">
        <f ca="1">CONCATENATE("Lists!E2:E",COUNTIF(Lists!E1:E12,"&lt;&gt;"""))</f>
        <v>Lists!E2:E12</v>
      </c>
      <c r="D9" s="40"/>
      <c r="E9" s="68"/>
      <c r="F9" s="77" t="s">
        <v>320</v>
      </c>
      <c r="G9" s="40">
        <f ca="1">INDIRECT(ADDRESS(Lists!B25,51,,,"Lifting"))</f>
        <v>290</v>
      </c>
      <c r="AI9" s="38" t="s">
        <v>146</v>
      </c>
      <c r="AP9" s="109"/>
      <c r="AQ9" s="110"/>
      <c r="AR9" s="110"/>
      <c r="AS9" s="110"/>
      <c r="AT9" s="110"/>
      <c r="BC9" s="110"/>
      <c r="BD9" s="110"/>
      <c r="BE9" s="110"/>
      <c r="BG9" s="63"/>
      <c r="BH9" s="63">
        <f ca="1">NOW()-TODAY()</f>
        <v>0.51426134259236278</v>
      </c>
    </row>
    <row r="10" spans="1:85" hidden="1" x14ac:dyDescent="0.2">
      <c r="A10" t="str">
        <f>CONCATENATE("Setup!P5:P",COUNTA(Setup!Q:Q)+3)</f>
        <v>Setup!P5:P8</v>
      </c>
      <c r="B10" t="str">
        <f ca="1">CONCATENATE("B13:B",12+COUNTIF(A:A,RIGHT(A11,LEN(A11)-FIND(" ",A11))))</f>
        <v>B13:B22</v>
      </c>
      <c r="C10" t="str">
        <f>CONCATENATE("Setup!M6:M",COUNTA(Setup!M:M)+3)</f>
        <v>Setup!M6:M5</v>
      </c>
      <c r="D10" t="str">
        <f>CONCATENATE("Setup!I6:I",COUNTA(Setup!I:I)+3)</f>
        <v>Setup!I6:I37</v>
      </c>
      <c r="G10" t="str">
        <f ca="1">INDIRECT(ADDRESS(Lists!B25,26,,,"Lifting"))</f>
        <v>19/M-JR-U/74/PL</v>
      </c>
      <c r="AI10" s="38" t="s">
        <v>136</v>
      </c>
      <c r="AJ10" s="408" t="s">
        <v>156</v>
      </c>
      <c r="AK10" s="408"/>
      <c r="AL10" s="408"/>
      <c r="AO10" s="1"/>
      <c r="AP10" s="109"/>
      <c r="AQ10" s="110"/>
      <c r="AR10" s="110"/>
      <c r="AS10" s="110"/>
      <c r="AT10" s="110"/>
      <c r="AV10" s="409" t="s">
        <v>144</v>
      </c>
      <c r="AW10" s="409"/>
      <c r="AX10" s="409"/>
      <c r="BC10" s="110"/>
      <c r="BD10" s="110"/>
      <c r="BE10" s="110"/>
    </row>
    <row r="11" spans="1:85" s="262" customFormat="1" ht="30.6" customHeight="1" thickBot="1" x14ac:dyDescent="0.25">
      <c r="A11" s="44" t="s">
        <v>1279</v>
      </c>
      <c r="B11" s="51" t="s">
        <v>54</v>
      </c>
      <c r="C11" s="51" t="s">
        <v>55</v>
      </c>
      <c r="D11" s="51" t="s">
        <v>56</v>
      </c>
      <c r="E11" s="51" t="str">
        <f>'Weigh-In'!F2</f>
        <v>検量体重</v>
      </c>
      <c r="F11" s="51" t="s">
        <v>716</v>
      </c>
      <c r="G11" s="51" t="s">
        <v>57</v>
      </c>
      <c r="H11" s="118" t="s">
        <v>849</v>
      </c>
      <c r="I11" s="219" t="s">
        <v>912</v>
      </c>
      <c r="J11" s="52" t="s">
        <v>58</v>
      </c>
      <c r="K11" s="51" t="s">
        <v>28</v>
      </c>
      <c r="L11" s="51" t="s">
        <v>32</v>
      </c>
      <c r="M11" s="51" t="s">
        <v>36</v>
      </c>
      <c r="N11" s="51" t="s">
        <v>72</v>
      </c>
      <c r="O11" s="52" t="s">
        <v>59</v>
      </c>
      <c r="P11" s="51" t="s">
        <v>39</v>
      </c>
      <c r="Q11" s="51" t="s">
        <v>41</v>
      </c>
      <c r="R11" s="51" t="s">
        <v>42</v>
      </c>
      <c r="S11" s="51" t="s">
        <v>73</v>
      </c>
      <c r="T11" s="51" t="s">
        <v>65</v>
      </c>
      <c r="U11" s="51" t="s">
        <v>43</v>
      </c>
      <c r="V11" s="51" t="s">
        <v>44</v>
      </c>
      <c r="W11" s="51" t="s">
        <v>45</v>
      </c>
      <c r="X11" s="51" t="s">
        <v>74</v>
      </c>
      <c r="Y11" s="44" t="s">
        <v>1170</v>
      </c>
      <c r="Z11" s="51" t="s">
        <v>157</v>
      </c>
      <c r="AA11" s="223" t="s">
        <v>318</v>
      </c>
      <c r="AB11" s="51" t="s">
        <v>324</v>
      </c>
      <c r="AC11" s="223" t="s">
        <v>850</v>
      </c>
      <c r="AD11" s="223" t="s">
        <v>851</v>
      </c>
      <c r="AE11" s="51" t="s">
        <v>60</v>
      </c>
      <c r="AF11" s="204" t="s">
        <v>801</v>
      </c>
      <c r="AG11" s="51" t="s">
        <v>468</v>
      </c>
      <c r="AH11" s="51" t="s">
        <v>437</v>
      </c>
      <c r="AI11" s="53" t="str">
        <f>Lists!B31</f>
        <v>K</v>
      </c>
      <c r="AJ11" s="54" t="s">
        <v>95</v>
      </c>
      <c r="AK11" s="54" t="s">
        <v>96</v>
      </c>
      <c r="AL11" s="54" t="s">
        <v>143</v>
      </c>
      <c r="AM11" s="51" t="str">
        <f>VLOOKUP(Y11,AM1:AN7,2,FALSE)</f>
        <v>PL</v>
      </c>
      <c r="AN11" s="51" t="s">
        <v>19</v>
      </c>
      <c r="AO11" s="51" t="s">
        <v>147</v>
      </c>
      <c r="AP11" s="113"/>
      <c r="AQ11" s="114" t="s">
        <v>462</v>
      </c>
      <c r="AR11" s="114" t="s">
        <v>464</v>
      </c>
      <c r="AS11" s="114"/>
      <c r="AT11" s="114" t="s">
        <v>715</v>
      </c>
      <c r="AU11" s="51"/>
      <c r="AV11" s="51" t="s">
        <v>140</v>
      </c>
      <c r="AW11" s="51" t="s">
        <v>141</v>
      </c>
      <c r="AX11" s="51" t="s">
        <v>142</v>
      </c>
      <c r="AY11" s="51" t="s">
        <v>175</v>
      </c>
      <c r="AZ11" s="70" t="s">
        <v>176</v>
      </c>
      <c r="BA11" s="70" t="s">
        <v>177</v>
      </c>
      <c r="BB11" s="51" t="s">
        <v>178</v>
      </c>
      <c r="BC11" s="114"/>
      <c r="BD11" s="114"/>
      <c r="BE11" s="114"/>
      <c r="BF11" s="51"/>
      <c r="BG11" s="80"/>
      <c r="BH11" s="51"/>
      <c r="BI11" s="51"/>
      <c r="BJ11" s="93" t="s">
        <v>327</v>
      </c>
      <c r="BK11" s="92">
        <f ca="1">Lists!B25</f>
        <v>13</v>
      </c>
      <c r="BL11" s="94" t="s">
        <v>326</v>
      </c>
      <c r="BM11" s="92">
        <f ca="1">Lists!B24</f>
        <v>11</v>
      </c>
      <c r="BN11" s="83" t="str">
        <f>Lists!B23</f>
        <v>SQ-1</v>
      </c>
      <c r="BO11" s="51" t="str">
        <f ca="1">Lists!B40</f>
        <v>M-JR-U</v>
      </c>
      <c r="BP11" s="51" t="str">
        <f ca="1">Lists!B39</f>
        <v>74</v>
      </c>
      <c r="BQ11" s="51"/>
      <c r="BR11" s="51"/>
      <c r="BS11" s="51"/>
      <c r="BT11" s="51"/>
      <c r="BU11" s="51"/>
      <c r="BV11" s="51"/>
      <c r="BW11" s="51"/>
      <c r="BX11" s="51"/>
      <c r="BY11" s="51"/>
      <c r="BZ11" s="51" t="s">
        <v>819</v>
      </c>
      <c r="CA11" s="51"/>
      <c r="CB11" s="51" t="s">
        <v>434</v>
      </c>
      <c r="CC11" s="51" t="s">
        <v>435</v>
      </c>
      <c r="CD11" s="51" t="s">
        <v>75</v>
      </c>
      <c r="CE11" s="51" t="s">
        <v>436</v>
      </c>
      <c r="CF11" s="260"/>
      <c r="CG11" s="334" t="s">
        <v>1196</v>
      </c>
    </row>
    <row r="12" spans="1:85" s="263" customFormat="1" ht="15" hidden="1" x14ac:dyDescent="0.2">
      <c r="A12" s="84"/>
      <c r="B12" s="85"/>
      <c r="C12" s="84"/>
      <c r="D12" s="88"/>
      <c r="E12" s="88"/>
      <c r="F12" s="201" t="str">
        <f>一般判定(IFERROR(VLOOKUP(E12,DATA!$E$2:$G$22,IF(LEFT(D12,1)="M",2,3)),""),D12)</f>
        <v/>
      </c>
      <c r="G12" s="88"/>
      <c r="H12" s="216"/>
      <c r="I12" s="220" t="str">
        <f t="shared" ref="I12" si="0">CONCATENATE(LEFT(D12,1),IF(RIGHT(D12,1)="U","C","E"),VLOOKUP($Y$11,$AM$1:$AO$4,3,FALSE))</f>
        <v>EP</v>
      </c>
      <c r="J12" s="202"/>
      <c r="K12" s="88"/>
      <c r="L12" s="203"/>
      <c r="M12" s="203"/>
      <c r="N12" s="201">
        <f t="shared" ref="N12" ca="1" si="1">IF(MAX(K12:M12)&lt;=0,0,MAX(CELL("color",K12)*K12,CELL("color",L12)*L12,CELL("color",M12)*M12))</f>
        <v>0</v>
      </c>
      <c r="O12" s="202"/>
      <c r="P12" s="88"/>
      <c r="Q12" s="203"/>
      <c r="R12" s="203"/>
      <c r="S12" s="201">
        <f t="shared" ref="S12" ca="1" si="2">IF(MAX(P12:R12)&lt;=0,0,MAX(CELL("color",P12)*P12,CELL("color",Q12)*Q12,CELL("color",R12)*R12))</f>
        <v>0</v>
      </c>
      <c r="T12" s="201">
        <f t="shared" ref="T12" ca="1" si="3">IF(OR(N12=0,S12=0),0,N12+S12)</f>
        <v>0</v>
      </c>
      <c r="U12" s="88"/>
      <c r="V12" s="203"/>
      <c r="W12" s="203"/>
      <c r="X12" s="201">
        <f t="shared" ref="X12" ca="1" si="4">IF(MAX(U12:W12)&lt;=0,0,MAX(CELL("color",U12)*U12,CELL("color",V12)*V12,CELL("color",W12)*W12))</f>
        <v>0</v>
      </c>
      <c r="Y12" s="201">
        <f t="shared" ref="Y12" ca="1" si="5">AM12*IF($AM$11="SQ",N12,IF($AM$11="BP",S12,IF($AM$11="DL",X12,IF($AM$11="PP",IF(OR(S12=0,X12=0),0,S12+X12),IF(OR(T12=0,X12=0),0,T12+X12)))))</f>
        <v>0</v>
      </c>
      <c r="Z12" s="87" t="str">
        <f t="shared" ref="Z12" ca="1" si="6">IF(Y12=0,"",CONCATENATE(CD12,"/",IF(AN12=4,"Wilks",D12),"/",IF(AN12&gt;1,"",F12),"/",$AM$11))</f>
        <v/>
      </c>
      <c r="AA12" s="224">
        <f t="shared" ref="AA12" si="7">BB12</f>
        <v>0</v>
      </c>
      <c r="AB12" s="201" t="str">
        <f t="shared" ref="AB12" si="8">IF(AA12=0,"",CE12)</f>
        <v/>
      </c>
      <c r="AC12" s="335">
        <f t="shared" ref="AC12" ca="1" si="9">IF(AND($Y12&lt;&gt;"",ISNUMBER($Y12)),$CG12*$Y12,"")</f>
        <v>0</v>
      </c>
      <c r="AD12" s="224">
        <f ca="1">IFERROR(VLOOKUP(AS12,DATA!$A$2:$B$63,2,TRUE),0)*AC12</f>
        <v>0</v>
      </c>
      <c r="AE12" s="88"/>
      <c r="AF12" s="88"/>
      <c r="AG12" s="86"/>
      <c r="AH12" s="86" t="str">
        <f>IFERROR(VLOOKUP(A12,Setup!$Q$5:$R$20,2,FALSE),"")</f>
        <v/>
      </c>
      <c r="AI12" s="89" t="str">
        <f t="shared" ref="AI12" ca="1" si="10">IF(VALUE(INDIRECT(CONCATENATE($AI$11,ROW())))=0,"",ABS(INDIRECT(CONCATENATE($AI$11,ROW())))+0.000001*G12)</f>
        <v/>
      </c>
      <c r="AJ12" s="86">
        <v>0</v>
      </c>
      <c r="AK12" s="86">
        <v>0</v>
      </c>
      <c r="AL12" s="86">
        <v>0</v>
      </c>
      <c r="AM12" s="86">
        <f t="shared" ref="AM12" si="11">IF(ISERROR(SEARCH($AM$11,AE12)),0,1)</f>
        <v>0</v>
      </c>
      <c r="AN12" s="86" t="e">
        <f>VLOOKUP(D12,Setup!$I$6:$K$92,3,FALSE)</f>
        <v>#N/A</v>
      </c>
      <c r="AO12" s="86">
        <f t="shared" ref="AO12" si="12">ROUND(IFERROR(IF(AN12=1,Y12,IF(AN12=2,AC12,IF(AN12=3,AD12,AC12))),0),5)</f>
        <v>0</v>
      </c>
      <c r="AP12" s="115"/>
      <c r="AQ12" s="116" t="str">
        <f>IFERROR(MATCH(D12,Setup!$I$6:$I$92,0),"")</f>
        <v/>
      </c>
      <c r="AR12" s="116" t="str">
        <f ca="1">IFERROR(CONCATENATE(LEFT(D12,FIND("-",D12)),IF(AS12="","O",VLOOKUP(AS12,DATA!$E$35:$F$53,2,TRUE))),"")</f>
        <v/>
      </c>
      <c r="AS12" s="136">
        <f t="shared" ref="AS12" ca="1" si="13">YEAR(TODAY())-H12</f>
        <v>2022</v>
      </c>
      <c r="AT12" s="116" t="e">
        <f>IF(AN12=1,MATCH(F12,DATA!$AB$2:$AB$34,0),0)</f>
        <v>#N/A</v>
      </c>
      <c r="AU12" s="86"/>
      <c r="AV12" s="86">
        <f t="shared" ref="AV12" si="14">IF(MAX(K12:M12)&gt;0,MAX(K12:M12),0)</f>
        <v>0</v>
      </c>
      <c r="AW12" s="86">
        <f t="shared" ref="AW12" si="15">IF(MAX(P12:R12)&gt;0,MAX(P12:R12),0)</f>
        <v>0</v>
      </c>
      <c r="AX12" s="86">
        <f t="shared" ref="AX12" si="16">IF(MAX(U12:W12)&gt;0,MAX(U12:W12),0)</f>
        <v>0</v>
      </c>
      <c r="AY12" s="86">
        <f t="shared" ref="AY12" si="17">AM12*IF($AM$11="PL",IF(MIN(AV12:AX12)=0,0,AV12+AW12+AX12),IF($AM$11="PP",IF(MIN(AW12:AX12)=0,0,AW12+AX12),IF($AM$11="BP",AW12,IF($AM$11="DL",AX12,AV12))))</f>
        <v>0</v>
      </c>
      <c r="AZ12" s="90">
        <f>IFERROR(IPF_Formula(E12,I12,AY12),0)</f>
        <v>0</v>
      </c>
      <c r="BA12" s="90">
        <f ca="1">ROUND(IFERROR(VLOOKUP(AS12,DATA!$A$2:$B$63,2,FALSE),1)*AZ12,5)</f>
        <v>0</v>
      </c>
      <c r="BB12" s="86">
        <f t="shared" ref="BB12" si="18">IFERROR(IF(AN12=1,AY12,IF(AN12=2,AZ12,IF(AN12=3,BA12,AZ12))),0)</f>
        <v>0</v>
      </c>
      <c r="BC12" s="116"/>
      <c r="BD12" s="116"/>
      <c r="BE12" s="116"/>
      <c r="BF12" s="86"/>
      <c r="BG12" s="91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 t="str">
        <f t="shared" ref="BZ12" si="19">IFERROR(IF(FIND("DT",AE12),"Y",""),"")</f>
        <v/>
      </c>
      <c r="CA12" s="86"/>
      <c r="CB12" s="86" t="e">
        <f t="shared" ref="CB12" si="20">CONCATENATE(IF(AN12=4,"",D12),IF(AN12=1,F12,""))</f>
        <v>#N/A</v>
      </c>
      <c r="CC12" s="86">
        <f t="shared" ref="CC12" si="21">IF($AM$11="SQ",AJ12,IF($AM$11="BP",AK12,AL12))</f>
        <v>0</v>
      </c>
      <c r="CD12" s="86">
        <f t="shared" ref="CD12" ca="1" si="22">1+COUNTIFS(INDIRECT("AN12:AN500"),AN12,INDIRECT("CB12:CB500"),CB12,INDIRECT("AO12:AO500"),"&gt;"&amp;AO12)
+COUNTIFS(INDIRECT("AO12:AO500"),AO12,INDIRECT("AN12:AN500"),1,INDIRECT("CB12:CB500"),CB12,INDIRECT("E12:E500"),"&lt;"&amp;E12)
+COUNTIFS(INDIRECT("AO12:AO500"),AO12,INDIRECT("AN12:AN500"),1,INDIRECT("CB12:CB500"),CB12,INDIRECT("E12:E500"),E12,INDIRECT("CC12:CC500"),"&lt;"&amp;CC12)</f>
        <v>1</v>
      </c>
      <c r="CE12" s="86">
        <f t="shared" ref="CE12" ca="1" si="23">1+COUNTIFS(INDIRECT("AN12:AN500"),AN12,INDIRECT("CB12:CB500"),CB12,INDIRECT("BB12:BB500"),"&gt;"&amp;BB12)
+COUNTIFS(INDIRECT("BB12:BB500"),BB12,INDIRECT("AN12:AN500"),1,INDIRECT("CB12:CB500"),CB12,INDIRECT("E12:E500"),"&lt;"&amp;E12)</f>
        <v>1</v>
      </c>
      <c r="CF12" s="261"/>
      <c r="CG12" s="336">
        <f>IF(OR($E12="",$E12=0),0, ROUND(100/(VLOOKUP($I12,'IPF Formula'!$A$3:$F$10,4,FALSE)-VLOOKUP($I12,'IPF Formula'!$A$3:$F$10,5,FALSE)*EXP(-VLOOKUP($I12,'IPF Formula'!$A$3:$F$10,6,FALSE)*$E12)),6))</f>
        <v>0</v>
      </c>
    </row>
    <row r="13" spans="1:85" s="263" customFormat="1" ht="15.75" x14ac:dyDescent="0.2">
      <c r="A13" s="84" t="s">
        <v>68</v>
      </c>
      <c r="B13" s="85" t="s">
        <v>1241</v>
      </c>
      <c r="C13" s="84" t="s">
        <v>1259</v>
      </c>
      <c r="D13" s="88" t="s">
        <v>1201</v>
      </c>
      <c r="E13" s="88">
        <v>66.900000000000006</v>
      </c>
      <c r="F13" s="201" t="str">
        <f>一般判定(IFERROR(VLOOKUP(E13,DATA!$E$2:$G$22,IF(LEFT(D13,1)="M",2,3)),""),D13)</f>
        <v>74</v>
      </c>
      <c r="G13" s="88">
        <v>34</v>
      </c>
      <c r="H13" s="216">
        <v>3</v>
      </c>
      <c r="I13" s="220" t="str">
        <f t="shared" ref="I13:I32" si="24">CONCATENATE(LEFT(D13,1),IF(RIGHT(D13,1)="U","C","E"),VLOOKUP($Y$11,$AM$1:$AO$4,3,FALSE))</f>
        <v>MCP</v>
      </c>
      <c r="J13" s="202" t="s">
        <v>810</v>
      </c>
      <c r="K13" s="361">
        <v>70</v>
      </c>
      <c r="L13" s="270">
        <v>85</v>
      </c>
      <c r="M13" s="270">
        <v>95</v>
      </c>
      <c r="N13" s="201">
        <f t="shared" ref="N13:N32" ca="1" si="25">IF(MAX(K13:M13)&lt;=0,0,MAX(CELL("color",K13)*K13,CELL("color",L13)*L13,CELL("color",M13)*M13))</f>
        <v>95</v>
      </c>
      <c r="O13" s="202" t="s">
        <v>1277</v>
      </c>
      <c r="P13" s="361">
        <v>65</v>
      </c>
      <c r="Q13" s="270">
        <v>75</v>
      </c>
      <c r="R13" s="271">
        <v>-80</v>
      </c>
      <c r="S13" s="201">
        <f t="shared" ref="S13:S32" ca="1" si="26">IF(MAX(P13:R13)&lt;=0,0,MAX(CELL("color",P13)*P13,CELL("color",Q13)*Q13,CELL("color",R13)*R13))</f>
        <v>75</v>
      </c>
      <c r="T13" s="201">
        <f t="shared" ref="T13:T32" ca="1" si="27">IF(OR(N13=0,S13=0),0,N13+S13)</f>
        <v>170</v>
      </c>
      <c r="U13" s="361">
        <v>110</v>
      </c>
      <c r="V13" s="270">
        <v>120</v>
      </c>
      <c r="W13" s="271">
        <v>-130</v>
      </c>
      <c r="X13" s="201">
        <f t="shared" ref="X13:X32" ca="1" si="28">IF(MAX(U13:W13)&lt;=0,0,MAX(CELL("color",U13)*U13,CELL("color",V13)*V13,CELL("color",W13)*W13))</f>
        <v>120</v>
      </c>
      <c r="Y13" s="201">
        <f t="shared" ref="Y13:Y32" ca="1" si="29">AM13*IF($AM$11="SQ",N13,IF($AM$11="BP",S13,IF($AM$11="DL",X13,IF($AM$11="PP",IF(OR(S13=0,X13=0),0,S13+X13),IF(OR(T13=0,X13=0),0,T13+X13)))))</f>
        <v>290</v>
      </c>
      <c r="Z13" s="87" t="str">
        <f t="shared" ref="Z13:Z32" ca="1" si="30">IF(Y13=0,"",CONCATENATE(CD13,"/",IF(AN13=4,"Wilks",D13),"/",IF(AN13&gt;1,"",F13),"/",$AM$11))</f>
        <v>19/M-JR-U/74/PL</v>
      </c>
      <c r="AA13" s="224">
        <f t="shared" ref="AA13:AA32" si="31">BB13</f>
        <v>290</v>
      </c>
      <c r="AB13" s="201">
        <f t="shared" ref="AB13:AB32" ca="1" si="32">IF(AA13=0,"",CE13)</f>
        <v>19</v>
      </c>
      <c r="AC13" s="335">
        <f t="shared" ref="AC13:AC32" ca="1" si="33">IF(AND($Y13&lt;&gt;"",ISNUMBER($Y13)),$CG13*$Y13,"")</f>
        <v>44.883879999999998</v>
      </c>
      <c r="AD13" s="224">
        <f ca="1">IFERROR(VLOOKUP(AS13,DATA!$A$2:$B$63,2,TRUE),0)*AC13</f>
        <v>114.40901011999999</v>
      </c>
      <c r="AE13" s="88" t="s">
        <v>69</v>
      </c>
      <c r="AF13" s="88"/>
      <c r="AG13" s="86"/>
      <c r="AH13" s="86">
        <f>IFERROR(VLOOKUP(A13,Setup!$Q$5:$R$20,2,FALSE),"")</f>
        <v>0</v>
      </c>
      <c r="AI13" s="89">
        <f t="shared" ref="AI13:AI32" ca="1" si="34">IF(VALUE(INDIRECT(CONCATENATE($AI$11,ROW())))=0,"",ABS(INDIRECT(CONCATENATE($AI$11,ROW())))+0.000001*G13)</f>
        <v>70.000033999999999</v>
      </c>
      <c r="AJ13" s="86">
        <v>22</v>
      </c>
      <c r="AK13" s="86">
        <v>13</v>
      </c>
      <c r="AL13" s="86">
        <v>10</v>
      </c>
      <c r="AM13" s="86">
        <f t="shared" ref="AM13:AM32" si="35">IF(ISERROR(SEARCH($AM$11,AE13)),0,1)</f>
        <v>1</v>
      </c>
      <c r="AN13" s="86">
        <f>VLOOKUP(D13,Setup!$I$6:$K$92,3,FALSE)</f>
        <v>1</v>
      </c>
      <c r="AO13" s="86">
        <f t="shared" ref="AO13:AO32" ca="1" si="36">ROUND(IFERROR(IF(AN13=1,Y13,IF(AN13=2,AC13,IF(AN13=3,AD13,AC13))),0),5)</f>
        <v>290</v>
      </c>
      <c r="AP13" s="115"/>
      <c r="AQ13" s="116">
        <f>IFERROR(MATCH(D13,Setup!$I$6:$I$92,0),"")</f>
        <v>9</v>
      </c>
      <c r="AR13" s="116" t="str">
        <f ca="1">IFERROR(CONCATENATE(LEFT(D13,FIND("-",D13)),IF(AS13="","O",VLOOKUP(AS13,DATA!$E$35:$F$53,2,TRUE))),"")</f>
        <v>M-M6</v>
      </c>
      <c r="AS13" s="136">
        <f t="shared" ref="AS13:AS32" ca="1" si="37">YEAR(TODAY())-H13</f>
        <v>2019</v>
      </c>
      <c r="AT13" s="116" t="e">
        <f>IF(AN13=1,MATCH(F13,DATA!$AB$2:$AB$34,0),0)</f>
        <v>#N/A</v>
      </c>
      <c r="AU13" s="86"/>
      <c r="AV13" s="86">
        <f t="shared" ref="AV13:AV32" si="38">IF(MAX(K13:M13)&gt;0,MAX(K13:M13),0)</f>
        <v>95</v>
      </c>
      <c r="AW13" s="86">
        <f t="shared" ref="AW13:AW32" si="39">IF(MAX(P13:R13)&gt;0,MAX(P13:R13),0)</f>
        <v>75</v>
      </c>
      <c r="AX13" s="86">
        <f t="shared" ref="AX13:AX32" si="40">IF(MAX(U13:W13)&gt;0,MAX(U13:W13),0)</f>
        <v>120</v>
      </c>
      <c r="AY13" s="86">
        <f t="shared" ref="AY13:AY32" si="41">AM13*IF($AM$11="PL",IF(MIN(AV13:AX13)=0,0,AV13+AW13+AX13),IF($AM$11="PP",IF(MIN(AW13:AX13)=0,0,AW13+AX13),IF($AM$11="BP",AW13,IF($AM$11="DL",AX13,AV13))))</f>
        <v>290</v>
      </c>
      <c r="AZ13" s="90">
        <f>IFERROR(IPF_Formula(E13,I13,AY13),0)</f>
        <v>0</v>
      </c>
      <c r="BA13" s="90">
        <f ca="1">ROUND(IFERROR(VLOOKUP(AS13,DATA!$A$2:$B$63,2,FALSE),1)*AZ13,5)</f>
        <v>0</v>
      </c>
      <c r="BB13" s="86">
        <f t="shared" ref="BB13:BB32" si="42">IFERROR(IF(AN13=1,AY13,IF(AN13=2,AZ13,IF(AN13=3,BA13,AZ13))),0)</f>
        <v>290</v>
      </c>
      <c r="BC13" s="116"/>
      <c r="BD13" s="116"/>
      <c r="BE13" s="116"/>
      <c r="BF13" s="86"/>
      <c r="BG13" s="91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 t="str">
        <f t="shared" ref="BZ13:BZ32" si="43">IFERROR(IF(FIND("DT",AE13),"Y",""),"")</f>
        <v/>
      </c>
      <c r="CA13" s="86"/>
      <c r="CB13" s="86" t="str">
        <f t="shared" ref="CB13:CB32" si="44">CONCATENATE(IF(AN13=4,"",D13),IF(AN13=1,F13,""))</f>
        <v>M-JR-U74</v>
      </c>
      <c r="CC13" s="86">
        <f t="shared" ref="CC13:CC32" si="45">IF($AM$11="SQ",AJ13,IF($AM$11="BP",AK13,AL13))</f>
        <v>10</v>
      </c>
      <c r="CD13" s="86">
        <f t="shared" ref="CD13:CD32" ca="1" si="46">1+COUNTIFS(INDIRECT("AN12:AN500"),AN13,INDIRECT("CB12:CB500"),CB13,INDIRECT("AO12:AO500"),"&gt;"&amp;AO13)
+COUNTIFS(INDIRECT("AO12:AO500"),AO13,INDIRECT("AN12:AN500"),1,INDIRECT("CB12:CB500"),CB13,INDIRECT("E12:E500"),"&lt;"&amp;E13)
+COUNTIFS(INDIRECT("AO12:AO500"),AO13,INDIRECT("AN12:AN500"),1,INDIRECT("CB12:CB500"),CB13,INDIRECT("E12:E500"),E13,INDIRECT("CC12:CC500"),"&lt;"&amp;CC13)</f>
        <v>19</v>
      </c>
      <c r="CE13" s="86">
        <f t="shared" ref="CE13:CE32" ca="1" si="47">1+COUNTIFS(INDIRECT("AN12:AN500"),AN13,INDIRECT("CB12:CB500"),CB13,INDIRECT("BB12:BB500"),"&gt;"&amp;BB13)
+COUNTIFS(INDIRECT("BB12:BB500"),BB13,INDIRECT("AN12:AN500"),1,INDIRECT("CB12:CB500"),CB13,INDIRECT("E12:E500"),"&lt;"&amp;E13)</f>
        <v>19</v>
      </c>
      <c r="CF13" s="261"/>
      <c r="CG13" s="336">
        <f>IF(OR($E13="",$E13=0),0, ROUND(100/(VLOOKUP($I13,'IPF Formula'!$A$3:$F$10,4,FALSE)-VLOOKUP($I13,'IPF Formula'!$A$3:$F$10,5,FALSE)*EXP(-VLOOKUP($I13,'IPF Formula'!$A$3:$F$10,6,FALSE)*$E13)),6))</f>
        <v>0.15477199999999999</v>
      </c>
    </row>
    <row r="14" spans="1:85" s="263" customFormat="1" ht="15.75" x14ac:dyDescent="0.2">
      <c r="A14" s="84" t="s">
        <v>68</v>
      </c>
      <c r="B14" s="85" t="s">
        <v>1247</v>
      </c>
      <c r="C14" s="84" t="s">
        <v>1258</v>
      </c>
      <c r="D14" s="88" t="s">
        <v>1201</v>
      </c>
      <c r="E14" s="88">
        <v>70</v>
      </c>
      <c r="F14" s="201" t="str">
        <f>一般判定(IFERROR(VLOOKUP(E14,DATA!$E$2:$G$22,IF(LEFT(D14,1)="M",2,3)),""),D14)</f>
        <v>74</v>
      </c>
      <c r="G14" s="88">
        <v>40</v>
      </c>
      <c r="H14" s="216">
        <v>2</v>
      </c>
      <c r="I14" s="220" t="str">
        <f t="shared" si="24"/>
        <v>MCP</v>
      </c>
      <c r="J14" s="202" t="s">
        <v>810</v>
      </c>
      <c r="K14" s="361">
        <v>70</v>
      </c>
      <c r="L14" s="271">
        <v>-80</v>
      </c>
      <c r="M14" s="270">
        <v>80</v>
      </c>
      <c r="N14" s="201">
        <f t="shared" ca="1" si="25"/>
        <v>80</v>
      </c>
      <c r="O14" s="202" t="s">
        <v>1270</v>
      </c>
      <c r="P14" s="361">
        <v>60</v>
      </c>
      <c r="Q14" s="270">
        <v>70</v>
      </c>
      <c r="R14" s="270">
        <v>75</v>
      </c>
      <c r="S14" s="201">
        <f t="shared" ca="1" si="26"/>
        <v>75</v>
      </c>
      <c r="T14" s="201">
        <f t="shared" ca="1" si="27"/>
        <v>155</v>
      </c>
      <c r="U14" s="361">
        <v>130</v>
      </c>
      <c r="V14" s="270">
        <v>145</v>
      </c>
      <c r="W14" s="270">
        <v>150</v>
      </c>
      <c r="X14" s="201">
        <f t="shared" ca="1" si="28"/>
        <v>150</v>
      </c>
      <c r="Y14" s="201">
        <f t="shared" ca="1" si="29"/>
        <v>305</v>
      </c>
      <c r="Z14" s="87" t="str">
        <f t="shared" ca="1" si="30"/>
        <v>18/M-JR-U/74/PL</v>
      </c>
      <c r="AA14" s="224">
        <f t="shared" si="31"/>
        <v>305</v>
      </c>
      <c r="AB14" s="201">
        <f t="shared" ca="1" si="32"/>
        <v>18</v>
      </c>
      <c r="AC14" s="335">
        <f t="shared" ca="1" si="33"/>
        <v>46.094040000000007</v>
      </c>
      <c r="AD14" s="224">
        <f ca="1">IFERROR(VLOOKUP(AS14,DATA!$A$2:$B$63,2,TRUE),0)*AC14</f>
        <v>117.49370796000001</v>
      </c>
      <c r="AE14" s="88" t="s">
        <v>69</v>
      </c>
      <c r="AF14" s="88"/>
      <c r="AG14" s="86"/>
      <c r="AH14" s="86">
        <f>IFERROR(VLOOKUP(A14,Setup!$Q$5:$R$20,2,FALSE),"")</f>
        <v>0</v>
      </c>
      <c r="AI14" s="89">
        <f t="shared" ca="1" si="34"/>
        <v>70.000039999999998</v>
      </c>
      <c r="AJ14" s="86">
        <v>21</v>
      </c>
      <c r="AK14" s="86">
        <v>19</v>
      </c>
      <c r="AL14" s="86">
        <v>18</v>
      </c>
      <c r="AM14" s="86">
        <f t="shared" si="35"/>
        <v>1</v>
      </c>
      <c r="AN14" s="86">
        <f>VLOOKUP(D14,Setup!$I$6:$K$92,3,FALSE)</f>
        <v>1</v>
      </c>
      <c r="AO14" s="86">
        <f t="shared" ca="1" si="36"/>
        <v>305</v>
      </c>
      <c r="AP14" s="115"/>
      <c r="AQ14" s="116">
        <f>IFERROR(MATCH(D14,Setup!$I$6:$I$92,0),"")</f>
        <v>9</v>
      </c>
      <c r="AR14" s="116" t="str">
        <f ca="1">IFERROR(CONCATENATE(LEFT(D14,FIND("-",D14)),IF(AS14="","O",VLOOKUP(AS14,DATA!$E$35:$F$53,2,TRUE))),"")</f>
        <v>M-M6</v>
      </c>
      <c r="AS14" s="136">
        <f t="shared" ca="1" si="37"/>
        <v>2020</v>
      </c>
      <c r="AT14" s="116" t="e">
        <f>IF(AN14=1,MATCH(F14,DATA!$AB$2:$AB$34,0),0)</f>
        <v>#N/A</v>
      </c>
      <c r="AU14" s="86"/>
      <c r="AV14" s="86">
        <f t="shared" si="38"/>
        <v>80</v>
      </c>
      <c r="AW14" s="86">
        <f t="shared" si="39"/>
        <v>75</v>
      </c>
      <c r="AX14" s="86">
        <f t="shared" si="40"/>
        <v>150</v>
      </c>
      <c r="AY14" s="86">
        <f t="shared" si="41"/>
        <v>305</v>
      </c>
      <c r="AZ14" s="90">
        <f>IFERROR(IPF_Formula(E14,I14,AY14),0)</f>
        <v>0</v>
      </c>
      <c r="BA14" s="90">
        <f ca="1">ROUND(IFERROR(VLOOKUP(AS14,DATA!$A$2:$B$63,2,FALSE),1)*AZ14,5)</f>
        <v>0</v>
      </c>
      <c r="BB14" s="86">
        <f t="shared" si="42"/>
        <v>305</v>
      </c>
      <c r="BC14" s="116"/>
      <c r="BD14" s="116"/>
      <c r="BE14" s="116"/>
      <c r="BF14" s="86"/>
      <c r="BG14" s="91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 t="str">
        <f t="shared" si="43"/>
        <v/>
      </c>
      <c r="CA14" s="86"/>
      <c r="CB14" s="86" t="str">
        <f t="shared" si="44"/>
        <v>M-JR-U74</v>
      </c>
      <c r="CC14" s="86">
        <f t="shared" si="45"/>
        <v>18</v>
      </c>
      <c r="CD14" s="86">
        <f t="shared" ca="1" si="46"/>
        <v>18</v>
      </c>
      <c r="CE14" s="86">
        <f t="shared" ca="1" si="47"/>
        <v>18</v>
      </c>
      <c r="CF14" s="261"/>
      <c r="CG14" s="336">
        <f>IF(OR($E14="",$E14=0),0, ROUND(100/(VLOOKUP($I14,'IPF Formula'!$A$3:$F$10,4,FALSE)-VLOOKUP($I14,'IPF Formula'!$A$3:$F$10,5,FALSE)*EXP(-VLOOKUP($I14,'IPF Formula'!$A$3:$F$10,6,FALSE)*$E14)),6))</f>
        <v>0.15112800000000001</v>
      </c>
    </row>
    <row r="15" spans="1:85" s="263" customFormat="1" ht="15.75" x14ac:dyDescent="0.2">
      <c r="A15" s="84" t="s">
        <v>68</v>
      </c>
      <c r="B15" s="85" t="s">
        <v>1242</v>
      </c>
      <c r="C15" s="84" t="s">
        <v>1261</v>
      </c>
      <c r="D15" s="88" t="s">
        <v>1201</v>
      </c>
      <c r="E15" s="88">
        <v>67.599999999999994</v>
      </c>
      <c r="F15" s="201" t="str">
        <f>一般判定(IFERROR(VLOOKUP(E15,DATA!$E$2:$G$22,IF(LEFT(D15,1)="M",2,3)),""),D15)</f>
        <v>74</v>
      </c>
      <c r="G15" s="88">
        <v>35</v>
      </c>
      <c r="H15" s="216">
        <v>2</v>
      </c>
      <c r="I15" s="220" t="str">
        <f t="shared" si="24"/>
        <v>MCP</v>
      </c>
      <c r="J15" s="202" t="s">
        <v>810</v>
      </c>
      <c r="K15" s="361">
        <v>125</v>
      </c>
      <c r="L15" s="270">
        <v>135</v>
      </c>
      <c r="M15" s="270">
        <v>140</v>
      </c>
      <c r="N15" s="201">
        <f t="shared" ca="1" si="25"/>
        <v>140</v>
      </c>
      <c r="O15" s="202" t="s">
        <v>1270</v>
      </c>
      <c r="P15" s="361">
        <v>82.5</v>
      </c>
      <c r="Q15" s="270">
        <v>87.5</v>
      </c>
      <c r="R15" s="271">
        <v>-90</v>
      </c>
      <c r="S15" s="201">
        <f t="shared" ca="1" si="26"/>
        <v>87.5</v>
      </c>
      <c r="T15" s="201">
        <f t="shared" ca="1" si="27"/>
        <v>227.5</v>
      </c>
      <c r="U15" s="361">
        <v>145</v>
      </c>
      <c r="V15" s="270">
        <v>157.5</v>
      </c>
      <c r="W15" s="270">
        <v>162.5</v>
      </c>
      <c r="X15" s="201">
        <f t="shared" ca="1" si="28"/>
        <v>162.5</v>
      </c>
      <c r="Y15" s="201">
        <f t="shared" ca="1" si="29"/>
        <v>390</v>
      </c>
      <c r="Z15" s="87" t="str">
        <f t="shared" ca="1" si="30"/>
        <v>17/M-JR-U/74/PL</v>
      </c>
      <c r="AA15" s="224">
        <f t="shared" si="31"/>
        <v>390</v>
      </c>
      <c r="AB15" s="201">
        <f t="shared" ca="1" si="32"/>
        <v>17</v>
      </c>
      <c r="AC15" s="335">
        <f t="shared" ca="1" si="33"/>
        <v>60.030750000000005</v>
      </c>
      <c r="AD15" s="224">
        <f ca="1">IFERROR(VLOOKUP(AS15,DATA!$A$2:$B$63,2,TRUE),0)*AC15</f>
        <v>153.01838175</v>
      </c>
      <c r="AE15" s="88" t="s">
        <v>69</v>
      </c>
      <c r="AF15" s="88"/>
      <c r="AG15" s="86"/>
      <c r="AH15" s="86">
        <f>IFERROR(VLOOKUP(A15,Setup!$Q$5:$R$20,2,FALSE),"")</f>
        <v>0</v>
      </c>
      <c r="AI15" s="89">
        <f t="shared" ca="1" si="34"/>
        <v>125.000035</v>
      </c>
      <c r="AJ15" s="86">
        <v>23</v>
      </c>
      <c r="AK15" s="86">
        <v>15</v>
      </c>
      <c r="AL15" s="86">
        <v>19</v>
      </c>
      <c r="AM15" s="86">
        <f t="shared" si="35"/>
        <v>1</v>
      </c>
      <c r="AN15" s="86">
        <f>VLOOKUP(D15,Setup!$I$6:$K$92,3,FALSE)</f>
        <v>1</v>
      </c>
      <c r="AO15" s="86">
        <f t="shared" ca="1" si="36"/>
        <v>390</v>
      </c>
      <c r="AP15" s="115"/>
      <c r="AQ15" s="116">
        <f>IFERROR(MATCH(D15,Setup!$I$6:$I$92,0),"")</f>
        <v>9</v>
      </c>
      <c r="AR15" s="116" t="str">
        <f ca="1">IFERROR(CONCATENATE(LEFT(D15,FIND("-",D15)),IF(AS15="","O",VLOOKUP(AS15,DATA!$E$35:$F$53,2,TRUE))),"")</f>
        <v>M-M6</v>
      </c>
      <c r="AS15" s="136">
        <f t="shared" ca="1" si="37"/>
        <v>2020</v>
      </c>
      <c r="AT15" s="116" t="e">
        <f>IF(AN15=1,MATCH(F15,DATA!$AB$2:$AB$34,0),0)</f>
        <v>#N/A</v>
      </c>
      <c r="AU15" s="86"/>
      <c r="AV15" s="86">
        <f t="shared" si="38"/>
        <v>140</v>
      </c>
      <c r="AW15" s="86">
        <f t="shared" si="39"/>
        <v>87.5</v>
      </c>
      <c r="AX15" s="86">
        <f t="shared" si="40"/>
        <v>162.5</v>
      </c>
      <c r="AY15" s="86">
        <f t="shared" si="41"/>
        <v>390</v>
      </c>
      <c r="AZ15" s="90">
        <f>IFERROR(IPF_Formula(E15,I15,AY15),0)</f>
        <v>0</v>
      </c>
      <c r="BA15" s="90">
        <f ca="1">ROUND(IFERROR(VLOOKUP(AS15,DATA!$A$2:$B$63,2,FALSE),1)*AZ15,5)</f>
        <v>0</v>
      </c>
      <c r="BB15" s="86">
        <f t="shared" si="42"/>
        <v>390</v>
      </c>
      <c r="BC15" s="116"/>
      <c r="BD15" s="116"/>
      <c r="BE15" s="116"/>
      <c r="BF15" s="86"/>
      <c r="BG15" s="91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 t="str">
        <f t="shared" si="43"/>
        <v/>
      </c>
      <c r="CA15" s="86"/>
      <c r="CB15" s="86" t="str">
        <f t="shared" si="44"/>
        <v>M-JR-U74</v>
      </c>
      <c r="CC15" s="86">
        <f t="shared" si="45"/>
        <v>19</v>
      </c>
      <c r="CD15" s="86">
        <f t="shared" ca="1" si="46"/>
        <v>17</v>
      </c>
      <c r="CE15" s="86">
        <f t="shared" ca="1" si="47"/>
        <v>17</v>
      </c>
      <c r="CF15" s="261"/>
      <c r="CG15" s="336">
        <f>IF(OR($E15="",$E15=0),0, ROUND(100/(VLOOKUP($I15,'IPF Formula'!$A$3:$F$10,4,FALSE)-VLOOKUP($I15,'IPF Formula'!$A$3:$F$10,5,FALSE)*EXP(-VLOOKUP($I15,'IPF Formula'!$A$3:$F$10,6,FALSE)*$E15)),6))</f>
        <v>0.15392500000000001</v>
      </c>
    </row>
    <row r="16" spans="1:85" s="263" customFormat="1" ht="15.75" x14ac:dyDescent="0.2">
      <c r="A16" s="84" t="s">
        <v>68</v>
      </c>
      <c r="B16" s="85" t="s">
        <v>1238</v>
      </c>
      <c r="C16" s="84" t="s">
        <v>1258</v>
      </c>
      <c r="D16" s="88" t="s">
        <v>1201</v>
      </c>
      <c r="E16" s="88">
        <v>68.900000000000006</v>
      </c>
      <c r="F16" s="201" t="str">
        <f>一般判定(IFERROR(VLOOKUP(E16,DATA!$E$2:$G$22,IF(LEFT(D16,1)="M",2,3)),""),D16)</f>
        <v>74</v>
      </c>
      <c r="G16" s="88">
        <v>31</v>
      </c>
      <c r="H16" s="216">
        <v>2</v>
      </c>
      <c r="I16" s="220" t="str">
        <f t="shared" si="24"/>
        <v>MCP</v>
      </c>
      <c r="J16" s="202" t="s">
        <v>809</v>
      </c>
      <c r="K16" s="361">
        <v>135</v>
      </c>
      <c r="L16" s="270">
        <v>145</v>
      </c>
      <c r="M16" s="270">
        <v>152.5</v>
      </c>
      <c r="N16" s="201">
        <f t="shared" ca="1" si="25"/>
        <v>152.5</v>
      </c>
      <c r="O16" s="202" t="s">
        <v>1268</v>
      </c>
      <c r="P16" s="361">
        <v>80</v>
      </c>
      <c r="Q16" s="271">
        <v>-90</v>
      </c>
      <c r="R16" s="270">
        <v>90</v>
      </c>
      <c r="S16" s="201">
        <f t="shared" ca="1" si="26"/>
        <v>90</v>
      </c>
      <c r="T16" s="201">
        <f t="shared" ca="1" si="27"/>
        <v>242.5</v>
      </c>
      <c r="U16" s="361">
        <v>160</v>
      </c>
      <c r="V16" s="270">
        <v>170</v>
      </c>
      <c r="W16" s="270">
        <v>180</v>
      </c>
      <c r="X16" s="201">
        <f t="shared" ca="1" si="28"/>
        <v>180</v>
      </c>
      <c r="Y16" s="201">
        <f t="shared" ca="1" si="29"/>
        <v>422.5</v>
      </c>
      <c r="Z16" s="87" t="str">
        <f t="shared" ca="1" si="30"/>
        <v>10/M-JR-U/74/PL</v>
      </c>
      <c r="AA16" s="224">
        <f t="shared" si="31"/>
        <v>422.5</v>
      </c>
      <c r="AB16" s="201">
        <f t="shared" ca="1" si="32"/>
        <v>10</v>
      </c>
      <c r="AC16" s="335">
        <f t="shared" ca="1" si="33"/>
        <v>64.384352500000006</v>
      </c>
      <c r="AD16" s="224">
        <f ca="1">IFERROR(VLOOKUP(AS16,DATA!$A$2:$B$63,2,TRUE),0)*AC16</f>
        <v>164.11571452250001</v>
      </c>
      <c r="AE16" s="88" t="s">
        <v>69</v>
      </c>
      <c r="AF16" s="88"/>
      <c r="AG16" s="86"/>
      <c r="AH16" s="86">
        <f>IFERROR(VLOOKUP(A16,Setup!$Q$5:$R$20,2,FALSE),"")</f>
        <v>0</v>
      </c>
      <c r="AI16" s="89">
        <f t="shared" ca="1" si="34"/>
        <v>135.00003100000001</v>
      </c>
      <c r="AJ16" s="86">
        <v>26</v>
      </c>
      <c r="AK16" s="86">
        <v>20</v>
      </c>
      <c r="AL16" s="86">
        <v>20</v>
      </c>
      <c r="AM16" s="86">
        <f t="shared" si="35"/>
        <v>1</v>
      </c>
      <c r="AN16" s="86">
        <f>VLOOKUP(D16,Setup!$I$6:$K$92,3,FALSE)</f>
        <v>1</v>
      </c>
      <c r="AO16" s="86">
        <f t="shared" ca="1" si="36"/>
        <v>422.5</v>
      </c>
      <c r="AP16" s="115"/>
      <c r="AQ16" s="116">
        <f>IFERROR(MATCH(D16,Setup!$I$6:$I$92,0),"")</f>
        <v>9</v>
      </c>
      <c r="AR16" s="116" t="str">
        <f ca="1">IFERROR(CONCATENATE(LEFT(D16,FIND("-",D16)),IF(AS16="","O",VLOOKUP(AS16,DATA!$E$35:$F$53,2,TRUE))),"")</f>
        <v>M-M6</v>
      </c>
      <c r="AS16" s="136">
        <f t="shared" ca="1" si="37"/>
        <v>2020</v>
      </c>
      <c r="AT16" s="116" t="e">
        <f>IF(AN16=1,MATCH(F16,DATA!$AB$2:$AB$34,0),0)</f>
        <v>#N/A</v>
      </c>
      <c r="AU16" s="86"/>
      <c r="AV16" s="86">
        <f t="shared" si="38"/>
        <v>152.5</v>
      </c>
      <c r="AW16" s="86">
        <f t="shared" si="39"/>
        <v>90</v>
      </c>
      <c r="AX16" s="86">
        <f t="shared" si="40"/>
        <v>180</v>
      </c>
      <c r="AY16" s="86">
        <f t="shared" si="41"/>
        <v>422.5</v>
      </c>
      <c r="AZ16" s="90">
        <f>IFERROR(IPF_Formula(E16,I16,AY16),0)</f>
        <v>0</v>
      </c>
      <c r="BA16" s="90">
        <f ca="1">ROUND(IFERROR(VLOOKUP(AS16,DATA!$A$2:$B$63,2,FALSE),1)*AZ16,5)</f>
        <v>0</v>
      </c>
      <c r="BB16" s="86">
        <f t="shared" si="42"/>
        <v>422.5</v>
      </c>
      <c r="BC16" s="116"/>
      <c r="BD16" s="116"/>
      <c r="BE16" s="116"/>
      <c r="BF16" s="86"/>
      <c r="BG16" s="91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 t="str">
        <f t="shared" si="43"/>
        <v/>
      </c>
      <c r="CA16" s="86"/>
      <c r="CB16" s="86" t="str">
        <f t="shared" si="44"/>
        <v>M-JR-U74</v>
      </c>
      <c r="CC16" s="86">
        <f t="shared" si="45"/>
        <v>20</v>
      </c>
      <c r="CD16" s="86">
        <f t="shared" ca="1" si="46"/>
        <v>10</v>
      </c>
      <c r="CE16" s="86">
        <f t="shared" ca="1" si="47"/>
        <v>10</v>
      </c>
      <c r="CF16" s="261"/>
      <c r="CG16" s="336">
        <f>IF(OR($E16="",$E16=0),0, ROUND(100/(VLOOKUP($I16,'IPF Formula'!$A$3:$F$10,4,FALSE)-VLOOKUP($I16,'IPF Formula'!$A$3:$F$10,5,FALSE)*EXP(-VLOOKUP($I16,'IPF Formula'!$A$3:$F$10,6,FALSE)*$E16)),6))</f>
        <v>0.152389</v>
      </c>
    </row>
    <row r="17" spans="1:85" s="263" customFormat="1" ht="15.75" x14ac:dyDescent="0.2">
      <c r="A17" s="84" t="s">
        <v>68</v>
      </c>
      <c r="B17" s="85" t="s">
        <v>1245</v>
      </c>
      <c r="C17" s="84" t="s">
        <v>1260</v>
      </c>
      <c r="D17" s="88" t="s">
        <v>1201</v>
      </c>
      <c r="E17" s="88">
        <v>73.400000000000006</v>
      </c>
      <c r="F17" s="201" t="str">
        <f>一般判定(IFERROR(VLOOKUP(E17,DATA!$E$2:$G$22,IF(LEFT(D17,1)="M",2,3)),""),D17)</f>
        <v>74</v>
      </c>
      <c r="G17" s="88">
        <v>38</v>
      </c>
      <c r="H17" s="216">
        <v>2</v>
      </c>
      <c r="I17" s="220" t="str">
        <f t="shared" si="24"/>
        <v>MCP</v>
      </c>
      <c r="J17" s="202" t="s">
        <v>809</v>
      </c>
      <c r="K17" s="361">
        <v>160</v>
      </c>
      <c r="L17" s="270">
        <v>167.5</v>
      </c>
      <c r="M17" s="271">
        <v>-170</v>
      </c>
      <c r="N17" s="201">
        <f t="shared" ca="1" si="25"/>
        <v>167.5</v>
      </c>
      <c r="O17" s="202" t="s">
        <v>1270</v>
      </c>
      <c r="P17" s="361">
        <v>100</v>
      </c>
      <c r="Q17" s="271">
        <v>-105</v>
      </c>
      <c r="R17" s="271">
        <v>-105</v>
      </c>
      <c r="S17" s="201">
        <f t="shared" ca="1" si="26"/>
        <v>100</v>
      </c>
      <c r="T17" s="201">
        <f t="shared" ca="1" si="27"/>
        <v>267.5</v>
      </c>
      <c r="U17" s="363">
        <v>-180</v>
      </c>
      <c r="V17" s="271">
        <v>-180</v>
      </c>
      <c r="W17" s="271">
        <v>-180</v>
      </c>
      <c r="X17" s="201">
        <f t="shared" ca="1" si="28"/>
        <v>0</v>
      </c>
      <c r="Y17" s="201">
        <f t="shared" ca="1" si="29"/>
        <v>0</v>
      </c>
      <c r="Z17" s="87" t="str">
        <f t="shared" ca="1" si="30"/>
        <v/>
      </c>
      <c r="AA17" s="224">
        <f t="shared" si="31"/>
        <v>0</v>
      </c>
      <c r="AB17" s="201" t="str">
        <f t="shared" si="32"/>
        <v/>
      </c>
      <c r="AC17" s="335">
        <f t="shared" ca="1" si="33"/>
        <v>0</v>
      </c>
      <c r="AD17" s="224">
        <f ca="1">IFERROR(VLOOKUP(AS17,DATA!$A$2:$B$63,2,TRUE),0)*AC17</f>
        <v>0</v>
      </c>
      <c r="AE17" s="88" t="s">
        <v>69</v>
      </c>
      <c r="AF17" s="88"/>
      <c r="AG17" s="86"/>
      <c r="AH17" s="86">
        <f>IFERROR(VLOOKUP(A17,Setup!$Q$5:$R$20,2,FALSE),"")</f>
        <v>0</v>
      </c>
      <c r="AI17" s="89">
        <f t="shared" ca="1" si="34"/>
        <v>160.00003799999999</v>
      </c>
      <c r="AJ17" s="86">
        <v>19</v>
      </c>
      <c r="AK17" s="86">
        <v>9</v>
      </c>
      <c r="AL17" s="86">
        <v>0</v>
      </c>
      <c r="AM17" s="86">
        <f t="shared" si="35"/>
        <v>1</v>
      </c>
      <c r="AN17" s="86">
        <f>VLOOKUP(D17,Setup!$I$6:$K$92,3,FALSE)</f>
        <v>1</v>
      </c>
      <c r="AO17" s="86">
        <f t="shared" ca="1" si="36"/>
        <v>0</v>
      </c>
      <c r="AP17" s="115"/>
      <c r="AQ17" s="116">
        <f>IFERROR(MATCH(D17,Setup!$I$6:$I$92,0),"")</f>
        <v>9</v>
      </c>
      <c r="AR17" s="116" t="str">
        <f ca="1">IFERROR(CONCATENATE(LEFT(D17,FIND("-",D17)),IF(AS17="","O",VLOOKUP(AS17,DATA!$E$35:$F$53,2,TRUE))),"")</f>
        <v>M-M6</v>
      </c>
      <c r="AS17" s="136">
        <f t="shared" ca="1" si="37"/>
        <v>2020</v>
      </c>
      <c r="AT17" s="116" t="e">
        <f>IF(AN17=1,MATCH(F17,DATA!$AB$2:$AB$34,0),0)</f>
        <v>#N/A</v>
      </c>
      <c r="AU17" s="86"/>
      <c r="AV17" s="86">
        <f t="shared" si="38"/>
        <v>167.5</v>
      </c>
      <c r="AW17" s="86">
        <f t="shared" si="39"/>
        <v>100</v>
      </c>
      <c r="AX17" s="86">
        <f t="shared" si="40"/>
        <v>0</v>
      </c>
      <c r="AY17" s="86">
        <f t="shared" si="41"/>
        <v>0</v>
      </c>
      <c r="AZ17" s="90">
        <f>IFERROR(IPF_Formula(E17,I17,AY17),0)</f>
        <v>0</v>
      </c>
      <c r="BA17" s="90">
        <f ca="1">ROUND(IFERROR(VLOOKUP(AS17,DATA!$A$2:$B$63,2,FALSE),1)*AZ17,5)</f>
        <v>0</v>
      </c>
      <c r="BB17" s="86">
        <f t="shared" si="42"/>
        <v>0</v>
      </c>
      <c r="BC17" s="116"/>
      <c r="BD17" s="116"/>
      <c r="BE17" s="116"/>
      <c r="BF17" s="86"/>
      <c r="BG17" s="91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 t="str">
        <f t="shared" si="43"/>
        <v/>
      </c>
      <c r="CA17" s="86"/>
      <c r="CB17" s="86" t="str">
        <f t="shared" si="44"/>
        <v>M-JR-U74</v>
      </c>
      <c r="CC17" s="86">
        <f t="shared" si="45"/>
        <v>0</v>
      </c>
      <c r="CD17" s="86">
        <f t="shared" ca="1" si="46"/>
        <v>20</v>
      </c>
      <c r="CE17" s="86">
        <f t="shared" ca="1" si="47"/>
        <v>20</v>
      </c>
      <c r="CF17" s="261"/>
      <c r="CG17" s="336">
        <f>IF(OR($E17="",$E17=0),0, ROUND(100/(VLOOKUP($I17,'IPF Formula'!$A$3:$F$10,4,FALSE)-VLOOKUP($I17,'IPF Formula'!$A$3:$F$10,5,FALSE)*EXP(-VLOOKUP($I17,'IPF Formula'!$A$3:$F$10,6,FALSE)*$E17)),6))</f>
        <v>0.14743200000000001</v>
      </c>
    </row>
    <row r="18" spans="1:85" s="263" customFormat="1" ht="15.75" x14ac:dyDescent="0.2">
      <c r="A18" s="84" t="s">
        <v>68</v>
      </c>
      <c r="B18" s="85" t="s">
        <v>1244</v>
      </c>
      <c r="C18" s="84" t="s">
        <v>1263</v>
      </c>
      <c r="D18" s="88" t="s">
        <v>1201</v>
      </c>
      <c r="E18" s="88">
        <v>71.3</v>
      </c>
      <c r="F18" s="201" t="str">
        <f>一般判定(IFERROR(VLOOKUP(E18,DATA!$E$2:$G$22,IF(LEFT(D18,1)="M",2,3)),""),D18)</f>
        <v>74</v>
      </c>
      <c r="G18" s="88">
        <v>37</v>
      </c>
      <c r="H18" s="216">
        <v>1</v>
      </c>
      <c r="I18" s="220" t="str">
        <f t="shared" si="24"/>
        <v>MCP</v>
      </c>
      <c r="J18" s="202" t="s">
        <v>810</v>
      </c>
      <c r="K18" s="361">
        <v>120</v>
      </c>
      <c r="L18" s="270">
        <v>130</v>
      </c>
      <c r="M18" s="271">
        <v>-140</v>
      </c>
      <c r="N18" s="201">
        <f t="shared" ca="1" si="25"/>
        <v>130</v>
      </c>
      <c r="O18" s="202" t="s">
        <v>1270</v>
      </c>
      <c r="P18" s="361">
        <v>85</v>
      </c>
      <c r="Q18" s="270">
        <v>90</v>
      </c>
      <c r="R18" s="270">
        <v>92.5</v>
      </c>
      <c r="S18" s="201">
        <f t="shared" ca="1" si="26"/>
        <v>92.5</v>
      </c>
      <c r="T18" s="201">
        <f t="shared" ca="1" si="27"/>
        <v>222.5</v>
      </c>
      <c r="U18" s="361">
        <v>160</v>
      </c>
      <c r="V18" s="270">
        <v>170</v>
      </c>
      <c r="W18" s="270">
        <v>185</v>
      </c>
      <c r="X18" s="201">
        <f t="shared" ca="1" si="28"/>
        <v>185</v>
      </c>
      <c r="Y18" s="201">
        <f t="shared" ca="1" si="29"/>
        <v>407.5</v>
      </c>
      <c r="Z18" s="87" t="str">
        <f t="shared" ca="1" si="30"/>
        <v>14/M-JR-U/74/PL</v>
      </c>
      <c r="AA18" s="224">
        <f t="shared" si="31"/>
        <v>407.5</v>
      </c>
      <c r="AB18" s="201">
        <f t="shared" ca="1" si="32"/>
        <v>14</v>
      </c>
      <c r="AC18" s="335">
        <f t="shared" ca="1" si="33"/>
        <v>60.994192500000004</v>
      </c>
      <c r="AD18" s="224">
        <f ca="1">IFERROR(VLOOKUP(AS18,DATA!$A$2:$B$63,2,TRUE),0)*AC18</f>
        <v>155.47419668250001</v>
      </c>
      <c r="AE18" s="88" t="s">
        <v>69</v>
      </c>
      <c r="AF18" s="88"/>
      <c r="AG18" s="86"/>
      <c r="AH18" s="86">
        <f>IFERROR(VLOOKUP(A18,Setup!$Q$5:$R$20,2,FALSE),"")</f>
        <v>0</v>
      </c>
      <c r="AI18" s="89">
        <f t="shared" ca="1" si="34"/>
        <v>120.00003700000001</v>
      </c>
      <c r="AJ18" s="86">
        <v>14</v>
      </c>
      <c r="AK18" s="86">
        <v>21</v>
      </c>
      <c r="AL18" s="86">
        <v>21</v>
      </c>
      <c r="AM18" s="86">
        <f t="shared" si="35"/>
        <v>1</v>
      </c>
      <c r="AN18" s="86">
        <f>VLOOKUP(D18,Setup!$I$6:$K$92,3,FALSE)</f>
        <v>1</v>
      </c>
      <c r="AO18" s="86">
        <f t="shared" ca="1" si="36"/>
        <v>407.5</v>
      </c>
      <c r="AP18" s="115"/>
      <c r="AQ18" s="116">
        <f>IFERROR(MATCH(D18,Setup!$I$6:$I$92,0),"")</f>
        <v>9</v>
      </c>
      <c r="AR18" s="116" t="str">
        <f ca="1">IFERROR(CONCATENATE(LEFT(D18,FIND("-",D18)),IF(AS18="","O",VLOOKUP(AS18,DATA!$E$35:$F$53,2,TRUE))),"")</f>
        <v>M-M6</v>
      </c>
      <c r="AS18" s="136">
        <f t="shared" ca="1" si="37"/>
        <v>2021</v>
      </c>
      <c r="AT18" s="116" t="e">
        <f>IF(AN18=1,MATCH(F18,DATA!$AB$2:$AB$34,0),0)</f>
        <v>#N/A</v>
      </c>
      <c r="AU18" s="86"/>
      <c r="AV18" s="86">
        <f t="shared" si="38"/>
        <v>130</v>
      </c>
      <c r="AW18" s="86">
        <f t="shared" si="39"/>
        <v>92.5</v>
      </c>
      <c r="AX18" s="86">
        <f t="shared" si="40"/>
        <v>185</v>
      </c>
      <c r="AY18" s="86">
        <f t="shared" si="41"/>
        <v>407.5</v>
      </c>
      <c r="AZ18" s="90">
        <f>IFERROR(IPF_Formula(E18,I18,AY18),0)</f>
        <v>0</v>
      </c>
      <c r="BA18" s="90">
        <f ca="1">ROUND(IFERROR(VLOOKUP(AS18,DATA!$A$2:$B$63,2,FALSE),1)*AZ18,5)</f>
        <v>0</v>
      </c>
      <c r="BB18" s="86">
        <f t="shared" si="42"/>
        <v>407.5</v>
      </c>
      <c r="BC18" s="116"/>
      <c r="BD18" s="116"/>
      <c r="BE18" s="116"/>
      <c r="BF18" s="86"/>
      <c r="BG18" s="91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 t="str">
        <f t="shared" si="43"/>
        <v/>
      </c>
      <c r="CA18" s="86"/>
      <c r="CB18" s="86" t="str">
        <f t="shared" si="44"/>
        <v>M-JR-U74</v>
      </c>
      <c r="CC18" s="86">
        <f t="shared" si="45"/>
        <v>21</v>
      </c>
      <c r="CD18" s="86">
        <f t="shared" ca="1" si="46"/>
        <v>14</v>
      </c>
      <c r="CE18" s="86">
        <f t="shared" ca="1" si="47"/>
        <v>14</v>
      </c>
      <c r="CF18" s="261"/>
      <c r="CG18" s="336">
        <f>IF(OR($E18="",$E18=0),0, ROUND(100/(VLOOKUP($I18,'IPF Formula'!$A$3:$F$10,4,FALSE)-VLOOKUP($I18,'IPF Formula'!$A$3:$F$10,5,FALSE)*EXP(-VLOOKUP($I18,'IPF Formula'!$A$3:$F$10,6,FALSE)*$E18)),6))</f>
        <v>0.14967900000000001</v>
      </c>
    </row>
    <row r="19" spans="1:85" s="263" customFormat="1" ht="15.75" x14ac:dyDescent="0.2">
      <c r="A19" s="84" t="s">
        <v>68</v>
      </c>
      <c r="B19" s="85" t="s">
        <v>1239</v>
      </c>
      <c r="C19" s="84" t="s">
        <v>1259</v>
      </c>
      <c r="D19" s="88" t="s">
        <v>1201</v>
      </c>
      <c r="E19" s="88">
        <v>73.900000000000006</v>
      </c>
      <c r="F19" s="201" t="str">
        <f>一般判定(IFERROR(VLOOKUP(E19,DATA!$E$2:$G$22,IF(LEFT(D19,1)="M",2,3)),""),D19)</f>
        <v>74</v>
      </c>
      <c r="G19" s="88">
        <v>32</v>
      </c>
      <c r="H19" s="216">
        <v>2</v>
      </c>
      <c r="I19" s="220" t="str">
        <f t="shared" si="24"/>
        <v>MCP</v>
      </c>
      <c r="J19" s="202" t="s">
        <v>809</v>
      </c>
      <c r="K19" s="361">
        <v>130</v>
      </c>
      <c r="L19" s="270">
        <v>140</v>
      </c>
      <c r="M19" s="270">
        <v>150</v>
      </c>
      <c r="N19" s="201">
        <f t="shared" ca="1" si="25"/>
        <v>150</v>
      </c>
      <c r="O19" s="202" t="s">
        <v>1270</v>
      </c>
      <c r="P19" s="361">
        <v>60</v>
      </c>
      <c r="Q19" s="270">
        <v>70</v>
      </c>
      <c r="R19" s="270">
        <v>75</v>
      </c>
      <c r="S19" s="201">
        <f t="shared" ca="1" si="26"/>
        <v>75</v>
      </c>
      <c r="T19" s="201">
        <f t="shared" ca="1" si="27"/>
        <v>225</v>
      </c>
      <c r="U19" s="361">
        <v>172.5</v>
      </c>
      <c r="V19" s="270">
        <v>192.5</v>
      </c>
      <c r="W19" s="271">
        <v>-200</v>
      </c>
      <c r="X19" s="201">
        <f t="shared" ca="1" si="28"/>
        <v>192.5</v>
      </c>
      <c r="Y19" s="201">
        <f t="shared" ca="1" si="29"/>
        <v>417.5</v>
      </c>
      <c r="Z19" s="87" t="str">
        <f t="shared" ca="1" si="30"/>
        <v>12/M-JR-U/74/PL</v>
      </c>
      <c r="AA19" s="224">
        <f t="shared" si="31"/>
        <v>417.5</v>
      </c>
      <c r="AB19" s="201">
        <f t="shared" ca="1" si="32"/>
        <v>12</v>
      </c>
      <c r="AC19" s="335">
        <f t="shared" ca="1" si="33"/>
        <v>61.336177499999998</v>
      </c>
      <c r="AD19" s="224">
        <f ca="1">IFERROR(VLOOKUP(AS19,DATA!$A$2:$B$63,2,TRUE),0)*AC19</f>
        <v>156.3459164475</v>
      </c>
      <c r="AE19" s="88" t="s">
        <v>69</v>
      </c>
      <c r="AF19" s="88"/>
      <c r="AG19" s="86"/>
      <c r="AH19" s="86">
        <f>IFERROR(VLOOKUP(A19,Setup!$Q$5:$R$20,2,FALSE),"")</f>
        <v>0</v>
      </c>
      <c r="AI19" s="89">
        <f t="shared" ca="1" si="34"/>
        <v>130.000032</v>
      </c>
      <c r="AJ19" s="86">
        <v>25</v>
      </c>
      <c r="AK19" s="86">
        <v>18</v>
      </c>
      <c r="AL19" s="86">
        <v>16</v>
      </c>
      <c r="AM19" s="86">
        <f t="shared" si="35"/>
        <v>1</v>
      </c>
      <c r="AN19" s="86">
        <f>VLOOKUP(D19,Setup!$I$6:$K$92,3,FALSE)</f>
        <v>1</v>
      </c>
      <c r="AO19" s="86">
        <f t="shared" ca="1" si="36"/>
        <v>417.5</v>
      </c>
      <c r="AP19" s="115"/>
      <c r="AQ19" s="116">
        <f>IFERROR(MATCH(D19,Setup!$I$6:$I$92,0),"")</f>
        <v>9</v>
      </c>
      <c r="AR19" s="116" t="str">
        <f ca="1">IFERROR(CONCATENATE(LEFT(D19,FIND("-",D19)),IF(AS19="","O",VLOOKUP(AS19,DATA!$E$35:$F$53,2,TRUE))),"")</f>
        <v>M-M6</v>
      </c>
      <c r="AS19" s="136">
        <f t="shared" ca="1" si="37"/>
        <v>2020</v>
      </c>
      <c r="AT19" s="116" t="e">
        <f>IF(AN19=1,MATCH(F19,DATA!$AB$2:$AB$34,0),0)</f>
        <v>#N/A</v>
      </c>
      <c r="AU19" s="86"/>
      <c r="AV19" s="86">
        <f t="shared" si="38"/>
        <v>150</v>
      </c>
      <c r="AW19" s="86">
        <f t="shared" si="39"/>
        <v>75</v>
      </c>
      <c r="AX19" s="86">
        <f t="shared" si="40"/>
        <v>192.5</v>
      </c>
      <c r="AY19" s="86">
        <f t="shared" si="41"/>
        <v>417.5</v>
      </c>
      <c r="AZ19" s="90">
        <f>IFERROR(IPF_Formula(E19,I19,AY19),0)</f>
        <v>0</v>
      </c>
      <c r="BA19" s="90">
        <f ca="1">ROUND(IFERROR(VLOOKUP(AS19,DATA!$A$2:$B$63,2,FALSE),1)*AZ19,5)</f>
        <v>0</v>
      </c>
      <c r="BB19" s="86">
        <f t="shared" si="42"/>
        <v>417.5</v>
      </c>
      <c r="BC19" s="116"/>
      <c r="BD19" s="116"/>
      <c r="BE19" s="116"/>
      <c r="BF19" s="86"/>
      <c r="BG19" s="91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 t="str">
        <f t="shared" si="43"/>
        <v/>
      </c>
      <c r="CA19" s="86"/>
      <c r="CB19" s="86" t="str">
        <f t="shared" si="44"/>
        <v>M-JR-U74</v>
      </c>
      <c r="CC19" s="86">
        <f t="shared" si="45"/>
        <v>16</v>
      </c>
      <c r="CD19" s="86">
        <f t="shared" ca="1" si="46"/>
        <v>12</v>
      </c>
      <c r="CE19" s="86">
        <f t="shared" ca="1" si="47"/>
        <v>12</v>
      </c>
      <c r="CF19" s="261"/>
      <c r="CG19" s="336">
        <f>IF(OR($E19="",$E19=0),0, ROUND(100/(VLOOKUP($I19,'IPF Formula'!$A$3:$F$10,4,FALSE)-VLOOKUP($I19,'IPF Formula'!$A$3:$F$10,5,FALSE)*EXP(-VLOOKUP($I19,'IPF Formula'!$A$3:$F$10,6,FALSE)*$E19)),6))</f>
        <v>0.14691299999999999</v>
      </c>
    </row>
    <row r="20" spans="1:85" s="263" customFormat="1" ht="15.75" x14ac:dyDescent="0.2">
      <c r="A20" s="84" t="s">
        <v>68</v>
      </c>
      <c r="B20" s="85" t="s">
        <v>1243</v>
      </c>
      <c r="C20" s="84" t="s">
        <v>1262</v>
      </c>
      <c r="D20" s="88" t="s">
        <v>1201</v>
      </c>
      <c r="E20" s="88">
        <v>71.599999999999994</v>
      </c>
      <c r="F20" s="201" t="str">
        <f>一般判定(IFERROR(VLOOKUP(E20,DATA!$E$2:$G$22,IF(LEFT(D20,1)="M",2,3)),""),D20)</f>
        <v>74</v>
      </c>
      <c r="G20" s="88">
        <v>36</v>
      </c>
      <c r="H20" s="216">
        <v>1</v>
      </c>
      <c r="I20" s="220" t="str">
        <f t="shared" si="24"/>
        <v>MCP</v>
      </c>
      <c r="J20" s="202" t="s">
        <v>811</v>
      </c>
      <c r="K20" s="361">
        <v>120</v>
      </c>
      <c r="L20" s="270">
        <v>130</v>
      </c>
      <c r="M20" s="270">
        <v>140</v>
      </c>
      <c r="N20" s="201">
        <f t="shared" ca="1" si="25"/>
        <v>140</v>
      </c>
      <c r="O20" s="202" t="s">
        <v>1268</v>
      </c>
      <c r="P20" s="361">
        <v>70</v>
      </c>
      <c r="Q20" s="270">
        <v>80</v>
      </c>
      <c r="R20" s="271">
        <v>-90</v>
      </c>
      <c r="S20" s="201">
        <f t="shared" ca="1" si="26"/>
        <v>80</v>
      </c>
      <c r="T20" s="201">
        <f t="shared" ca="1" si="27"/>
        <v>220</v>
      </c>
      <c r="U20" s="361">
        <v>160</v>
      </c>
      <c r="V20" s="270">
        <v>180</v>
      </c>
      <c r="W20" s="270">
        <v>200</v>
      </c>
      <c r="X20" s="201">
        <f t="shared" ca="1" si="28"/>
        <v>200</v>
      </c>
      <c r="Y20" s="201">
        <f t="shared" ca="1" si="29"/>
        <v>420</v>
      </c>
      <c r="Z20" s="87" t="str">
        <f t="shared" ca="1" si="30"/>
        <v>11/M-JR-U/74/PL</v>
      </c>
      <c r="AA20" s="224">
        <f t="shared" si="31"/>
        <v>420</v>
      </c>
      <c r="AB20" s="201">
        <f t="shared" ca="1" si="32"/>
        <v>11</v>
      </c>
      <c r="AC20" s="335">
        <f t="shared" ca="1" si="33"/>
        <v>62.727420000000002</v>
      </c>
      <c r="AD20" s="224">
        <f ca="1">IFERROR(VLOOKUP(AS20,DATA!$A$2:$B$63,2,TRUE),0)*AC20</f>
        <v>159.89219358</v>
      </c>
      <c r="AE20" s="88" t="s">
        <v>69</v>
      </c>
      <c r="AF20" s="88"/>
      <c r="AG20" s="86"/>
      <c r="AH20" s="86">
        <f>IFERROR(VLOOKUP(A20,Setup!$Q$5:$R$20,2,FALSE),"")</f>
        <v>0</v>
      </c>
      <c r="AI20" s="89">
        <f t="shared" ca="1" si="34"/>
        <v>120.00003599999999</v>
      </c>
      <c r="AJ20" s="86">
        <v>24</v>
      </c>
      <c r="AK20" s="86">
        <v>14</v>
      </c>
      <c r="AL20" s="86">
        <v>22</v>
      </c>
      <c r="AM20" s="86">
        <f t="shared" si="35"/>
        <v>1</v>
      </c>
      <c r="AN20" s="86">
        <f>VLOOKUP(D20,Setup!$I$6:$K$92,3,FALSE)</f>
        <v>1</v>
      </c>
      <c r="AO20" s="86">
        <f t="shared" ca="1" si="36"/>
        <v>420</v>
      </c>
      <c r="AP20" s="115"/>
      <c r="AQ20" s="116">
        <f>IFERROR(MATCH(D20,Setup!$I$6:$I$92,0),"")</f>
        <v>9</v>
      </c>
      <c r="AR20" s="116" t="str">
        <f ca="1">IFERROR(CONCATENATE(LEFT(D20,FIND("-",D20)),IF(AS20="","O",VLOOKUP(AS20,DATA!$E$35:$F$53,2,TRUE))),"")</f>
        <v>M-M6</v>
      </c>
      <c r="AS20" s="136">
        <f t="shared" ca="1" si="37"/>
        <v>2021</v>
      </c>
      <c r="AT20" s="116" t="e">
        <f>IF(AN20=1,MATCH(F20,DATA!$AB$2:$AB$34,0),0)</f>
        <v>#N/A</v>
      </c>
      <c r="AU20" s="86"/>
      <c r="AV20" s="86">
        <f t="shared" si="38"/>
        <v>140</v>
      </c>
      <c r="AW20" s="86">
        <f t="shared" si="39"/>
        <v>80</v>
      </c>
      <c r="AX20" s="86">
        <f t="shared" si="40"/>
        <v>200</v>
      </c>
      <c r="AY20" s="86">
        <f t="shared" si="41"/>
        <v>420</v>
      </c>
      <c r="AZ20" s="90">
        <f>IFERROR(IPF_Formula(E20,I20,AY20),0)</f>
        <v>0</v>
      </c>
      <c r="BA20" s="90">
        <f ca="1">ROUND(IFERROR(VLOOKUP(AS20,DATA!$A$2:$B$63,2,FALSE),1)*AZ20,5)</f>
        <v>0</v>
      </c>
      <c r="BB20" s="86">
        <f t="shared" si="42"/>
        <v>420</v>
      </c>
      <c r="BC20" s="116"/>
      <c r="BD20" s="116"/>
      <c r="BE20" s="116"/>
      <c r="BF20" s="86"/>
      <c r="BG20" s="91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 t="str">
        <f t="shared" si="43"/>
        <v/>
      </c>
      <c r="CA20" s="86"/>
      <c r="CB20" s="86" t="str">
        <f t="shared" si="44"/>
        <v>M-JR-U74</v>
      </c>
      <c r="CC20" s="86">
        <f t="shared" si="45"/>
        <v>22</v>
      </c>
      <c r="CD20" s="86">
        <f t="shared" ca="1" si="46"/>
        <v>11</v>
      </c>
      <c r="CE20" s="86">
        <f t="shared" ca="1" si="47"/>
        <v>11</v>
      </c>
      <c r="CF20" s="261"/>
      <c r="CG20" s="336">
        <f>IF(OR($E20="",$E20=0),0, ROUND(100/(VLOOKUP($I20,'IPF Formula'!$A$3:$F$10,4,FALSE)-VLOOKUP($I20,'IPF Formula'!$A$3:$F$10,5,FALSE)*EXP(-VLOOKUP($I20,'IPF Formula'!$A$3:$F$10,6,FALSE)*$E20)),6))</f>
        <v>0.14935100000000001</v>
      </c>
    </row>
    <row r="21" spans="1:85" s="263" customFormat="1" ht="15.75" x14ac:dyDescent="0.2">
      <c r="A21" s="84" t="s">
        <v>68</v>
      </c>
      <c r="B21" s="85" t="s">
        <v>1240</v>
      </c>
      <c r="C21" s="84" t="s">
        <v>1260</v>
      </c>
      <c r="D21" s="88" t="s">
        <v>1201</v>
      </c>
      <c r="E21" s="88">
        <v>72.3</v>
      </c>
      <c r="F21" s="201" t="str">
        <f>一般判定(IFERROR(VLOOKUP(E21,DATA!$E$2:$G$22,IF(LEFT(D21,1)="M",2,3)),""),D21)</f>
        <v>74</v>
      </c>
      <c r="G21" s="88">
        <v>33</v>
      </c>
      <c r="H21" s="216">
        <v>2</v>
      </c>
      <c r="I21" s="220" t="str">
        <f t="shared" si="24"/>
        <v>MCP</v>
      </c>
      <c r="J21" s="202" t="s">
        <v>1268</v>
      </c>
      <c r="K21" s="361">
        <v>155</v>
      </c>
      <c r="L21" s="270">
        <v>165</v>
      </c>
      <c r="M21" s="271">
        <v>-175</v>
      </c>
      <c r="N21" s="201">
        <f t="shared" ca="1" si="25"/>
        <v>165</v>
      </c>
      <c r="O21" s="202" t="s">
        <v>1269</v>
      </c>
      <c r="P21" s="361">
        <v>90</v>
      </c>
      <c r="Q21" s="270">
        <v>95</v>
      </c>
      <c r="R21" s="271">
        <v>-100</v>
      </c>
      <c r="S21" s="201">
        <f t="shared" ca="1" si="26"/>
        <v>95</v>
      </c>
      <c r="T21" s="201">
        <f t="shared" ca="1" si="27"/>
        <v>260</v>
      </c>
      <c r="U21" s="361">
        <v>195</v>
      </c>
      <c r="V21" s="271">
        <v>-205</v>
      </c>
      <c r="W21" s="271">
        <v>-215</v>
      </c>
      <c r="X21" s="201">
        <f t="shared" ca="1" si="28"/>
        <v>195</v>
      </c>
      <c r="Y21" s="201">
        <f t="shared" ca="1" si="29"/>
        <v>455</v>
      </c>
      <c r="Z21" s="87" t="str">
        <f t="shared" ca="1" si="30"/>
        <v>7/M-JR-U/74/PL</v>
      </c>
      <c r="AA21" s="224">
        <f t="shared" si="31"/>
        <v>455</v>
      </c>
      <c r="AB21" s="201">
        <f t="shared" ca="1" si="32"/>
        <v>7</v>
      </c>
      <c r="AC21" s="335">
        <f t="shared" ca="1" si="33"/>
        <v>67.610725000000002</v>
      </c>
      <c r="AD21" s="224">
        <f ca="1">IFERROR(VLOOKUP(AS21,DATA!$A$2:$B$63,2,TRUE),0)*AC21</f>
        <v>172.339738025</v>
      </c>
      <c r="AE21" s="88" t="s">
        <v>69</v>
      </c>
      <c r="AF21" s="88"/>
      <c r="AG21" s="86"/>
      <c r="AH21" s="86">
        <f>IFERROR(VLOOKUP(A21,Setup!$Q$5:$R$20,2,FALSE),"")</f>
        <v>0</v>
      </c>
      <c r="AI21" s="89">
        <f t="shared" ca="1" si="34"/>
        <v>155.000033</v>
      </c>
      <c r="AJ21" s="86">
        <v>18</v>
      </c>
      <c r="AK21" s="86">
        <v>17</v>
      </c>
      <c r="AL21" s="86">
        <v>8</v>
      </c>
      <c r="AM21" s="86">
        <f t="shared" si="35"/>
        <v>1</v>
      </c>
      <c r="AN21" s="86">
        <f>VLOOKUP(D21,Setup!$I$6:$K$92,3,FALSE)</f>
        <v>1</v>
      </c>
      <c r="AO21" s="86">
        <f t="shared" ca="1" si="36"/>
        <v>455</v>
      </c>
      <c r="AP21" s="115"/>
      <c r="AQ21" s="116">
        <f>IFERROR(MATCH(D21,Setup!$I$6:$I$92,0),"")</f>
        <v>9</v>
      </c>
      <c r="AR21" s="116" t="str">
        <f ca="1">IFERROR(CONCATENATE(LEFT(D21,FIND("-",D21)),IF(AS21="","O",VLOOKUP(AS21,DATA!$E$35:$F$53,2,TRUE))),"")</f>
        <v>M-M6</v>
      </c>
      <c r="AS21" s="136">
        <f t="shared" ca="1" si="37"/>
        <v>2020</v>
      </c>
      <c r="AT21" s="116" t="e">
        <f>IF(AN21=1,MATCH(F21,DATA!$AB$2:$AB$34,0),0)</f>
        <v>#N/A</v>
      </c>
      <c r="AU21" s="86"/>
      <c r="AV21" s="86">
        <f t="shared" si="38"/>
        <v>165</v>
      </c>
      <c r="AW21" s="86">
        <f t="shared" si="39"/>
        <v>95</v>
      </c>
      <c r="AX21" s="86">
        <f t="shared" si="40"/>
        <v>195</v>
      </c>
      <c r="AY21" s="86">
        <f t="shared" si="41"/>
        <v>455</v>
      </c>
      <c r="AZ21" s="90">
        <f>IFERROR(IPF_Formula(E21,I21,AY21),0)</f>
        <v>0</v>
      </c>
      <c r="BA21" s="90">
        <f ca="1">ROUND(IFERROR(VLOOKUP(AS21,DATA!$A$2:$B$63,2,FALSE),1)*AZ21,5)</f>
        <v>0</v>
      </c>
      <c r="BB21" s="86">
        <f t="shared" si="42"/>
        <v>455</v>
      </c>
      <c r="BC21" s="116"/>
      <c r="BD21" s="116"/>
      <c r="BE21" s="116"/>
      <c r="BF21" s="86"/>
      <c r="BG21" s="91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 t="str">
        <f t="shared" si="43"/>
        <v/>
      </c>
      <c r="CA21" s="86"/>
      <c r="CB21" s="86" t="str">
        <f t="shared" si="44"/>
        <v>M-JR-U74</v>
      </c>
      <c r="CC21" s="86">
        <f t="shared" si="45"/>
        <v>8</v>
      </c>
      <c r="CD21" s="86">
        <f t="shared" ca="1" si="46"/>
        <v>7</v>
      </c>
      <c r="CE21" s="86">
        <f t="shared" ca="1" si="47"/>
        <v>7</v>
      </c>
      <c r="CF21" s="261"/>
      <c r="CG21" s="336">
        <f>IF(OR($E21="",$E21=0),0, ROUND(100/(VLOOKUP($I21,'IPF Formula'!$A$3:$F$10,4,FALSE)-VLOOKUP($I21,'IPF Formula'!$A$3:$F$10,5,FALSE)*EXP(-VLOOKUP($I21,'IPF Formula'!$A$3:$F$10,6,FALSE)*$E21)),6))</f>
        <v>0.148595</v>
      </c>
    </row>
    <row r="22" spans="1:85" s="263" customFormat="1" ht="15.75" x14ac:dyDescent="0.2">
      <c r="A22" s="84" t="s">
        <v>68</v>
      </c>
      <c r="B22" s="85" t="s">
        <v>1246</v>
      </c>
      <c r="C22" s="84" t="s">
        <v>1261</v>
      </c>
      <c r="D22" s="88" t="s">
        <v>1201</v>
      </c>
      <c r="E22" s="88">
        <v>73.7</v>
      </c>
      <c r="F22" s="201" t="str">
        <f>一般判定(IFERROR(VLOOKUP(E22,DATA!$E$2:$G$22,IF(LEFT(D22,1)="M",2,3)),""),D22)</f>
        <v>74</v>
      </c>
      <c r="G22" s="88">
        <v>39</v>
      </c>
      <c r="H22" s="216">
        <v>4</v>
      </c>
      <c r="I22" s="220" t="str">
        <f t="shared" si="24"/>
        <v>MCP</v>
      </c>
      <c r="J22" s="202" t="s">
        <v>1276</v>
      </c>
      <c r="K22" s="361">
        <v>160</v>
      </c>
      <c r="L22" s="270">
        <v>170</v>
      </c>
      <c r="M22" s="270">
        <v>175</v>
      </c>
      <c r="N22" s="201">
        <f t="shared" ca="1" si="25"/>
        <v>175</v>
      </c>
      <c r="O22" s="202" t="s">
        <v>808</v>
      </c>
      <c r="P22" s="361">
        <v>105</v>
      </c>
      <c r="Q22" s="271">
        <v>-110</v>
      </c>
      <c r="R22" s="271">
        <v>-110</v>
      </c>
      <c r="S22" s="201">
        <f t="shared" ca="1" si="26"/>
        <v>105</v>
      </c>
      <c r="T22" s="201">
        <f t="shared" ca="1" si="27"/>
        <v>280</v>
      </c>
      <c r="U22" s="361">
        <v>195</v>
      </c>
      <c r="V22" s="270">
        <v>220</v>
      </c>
      <c r="W22" s="271">
        <v>-230</v>
      </c>
      <c r="X22" s="201">
        <f t="shared" ca="1" si="28"/>
        <v>220</v>
      </c>
      <c r="Y22" s="201">
        <f t="shared" ca="1" si="29"/>
        <v>500</v>
      </c>
      <c r="Z22" s="87" t="str">
        <f t="shared" ca="1" si="30"/>
        <v>3/M-JR-U/74/PL</v>
      </c>
      <c r="AA22" s="224">
        <f t="shared" si="31"/>
        <v>500</v>
      </c>
      <c r="AB22" s="201">
        <f t="shared" ca="1" si="32"/>
        <v>3</v>
      </c>
      <c r="AC22" s="335">
        <f t="shared" ca="1" si="33"/>
        <v>73.56</v>
      </c>
      <c r="AD22" s="224">
        <f ca="1">IFERROR(VLOOKUP(AS22,DATA!$A$2:$B$63,2,TRUE),0)*AC22</f>
        <v>187.50443999999999</v>
      </c>
      <c r="AE22" s="88" t="s">
        <v>69</v>
      </c>
      <c r="AF22" s="88"/>
      <c r="AG22" s="86"/>
      <c r="AH22" s="86">
        <f>IFERROR(VLOOKUP(A22,Setup!$Q$5:$R$20,2,FALSE),"")</f>
        <v>0</v>
      </c>
      <c r="AI22" s="89">
        <f t="shared" ca="1" si="34"/>
        <v>160.00003899999999</v>
      </c>
      <c r="AJ22" s="86">
        <v>28</v>
      </c>
      <c r="AK22" s="86">
        <v>10</v>
      </c>
      <c r="AL22" s="86">
        <v>17</v>
      </c>
      <c r="AM22" s="86">
        <f t="shared" si="35"/>
        <v>1</v>
      </c>
      <c r="AN22" s="86">
        <f>VLOOKUP(D22,Setup!$I$6:$K$92,3,FALSE)</f>
        <v>1</v>
      </c>
      <c r="AO22" s="86">
        <f t="shared" ca="1" si="36"/>
        <v>500</v>
      </c>
      <c r="AP22" s="115"/>
      <c r="AQ22" s="116">
        <f>IFERROR(MATCH(D22,Setup!$I$6:$I$92,0),"")</f>
        <v>9</v>
      </c>
      <c r="AR22" s="116" t="str">
        <f ca="1">IFERROR(CONCATENATE(LEFT(D22,FIND("-",D22)),IF(AS22="","O",VLOOKUP(AS22,DATA!$E$35:$F$53,2,TRUE))),"")</f>
        <v>M-M6</v>
      </c>
      <c r="AS22" s="136">
        <f t="shared" ca="1" si="37"/>
        <v>2018</v>
      </c>
      <c r="AT22" s="116" t="e">
        <f>IF(AN22=1,MATCH(F22,DATA!$AB$2:$AB$34,0),0)</f>
        <v>#N/A</v>
      </c>
      <c r="AU22" s="86"/>
      <c r="AV22" s="86">
        <f t="shared" si="38"/>
        <v>175</v>
      </c>
      <c r="AW22" s="86">
        <f t="shared" si="39"/>
        <v>105</v>
      </c>
      <c r="AX22" s="86">
        <f t="shared" si="40"/>
        <v>220</v>
      </c>
      <c r="AY22" s="86">
        <f t="shared" si="41"/>
        <v>500</v>
      </c>
      <c r="AZ22" s="90">
        <f>IFERROR(IPF_Formula(E22,I22,AY22),0)</f>
        <v>0</v>
      </c>
      <c r="BA22" s="90">
        <f ca="1">ROUND(IFERROR(VLOOKUP(AS22,DATA!$A$2:$B$63,2,FALSE),1)*AZ22,5)</f>
        <v>0</v>
      </c>
      <c r="BB22" s="86">
        <f t="shared" si="42"/>
        <v>500</v>
      </c>
      <c r="BC22" s="116"/>
      <c r="BD22" s="116"/>
      <c r="BE22" s="116"/>
      <c r="BF22" s="86"/>
      <c r="BG22" s="91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 t="str">
        <f t="shared" si="43"/>
        <v/>
      </c>
      <c r="CA22" s="86"/>
      <c r="CB22" s="86" t="str">
        <f t="shared" si="44"/>
        <v>M-JR-U74</v>
      </c>
      <c r="CC22" s="86">
        <f t="shared" si="45"/>
        <v>17</v>
      </c>
      <c r="CD22" s="86">
        <f t="shared" ca="1" si="46"/>
        <v>3</v>
      </c>
      <c r="CE22" s="86">
        <f t="shared" ca="1" si="47"/>
        <v>3</v>
      </c>
      <c r="CF22" s="261"/>
      <c r="CG22" s="336">
        <f>IF(OR($E22="",$E22=0),0, ROUND(100/(VLOOKUP($I22,'IPF Formula'!$A$3:$F$10,4,FALSE)-VLOOKUP($I22,'IPF Formula'!$A$3:$F$10,5,FALSE)*EXP(-VLOOKUP($I22,'IPF Formula'!$A$3:$F$10,6,FALSE)*$E22)),6))</f>
        <v>0.14712</v>
      </c>
    </row>
    <row r="23" spans="1:85" s="263" customFormat="1" ht="15.75" x14ac:dyDescent="0.2">
      <c r="A23" s="84" t="s">
        <v>70</v>
      </c>
      <c r="B23" s="85" t="s">
        <v>1248</v>
      </c>
      <c r="C23" s="84" t="s">
        <v>1261</v>
      </c>
      <c r="D23" s="88" t="s">
        <v>1201</v>
      </c>
      <c r="E23" s="88">
        <v>73.5</v>
      </c>
      <c r="F23" s="201" t="str">
        <f>一般判定(IFERROR(VLOOKUP(E23,DATA!$E$2:$G$22,IF(LEFT(D23,1)="M",2,3)),""),D23)</f>
        <v>74</v>
      </c>
      <c r="G23" s="88">
        <v>41</v>
      </c>
      <c r="H23" s="216">
        <v>3</v>
      </c>
      <c r="I23" s="220" t="str">
        <f t="shared" si="24"/>
        <v>MCP</v>
      </c>
      <c r="J23" s="202" t="s">
        <v>1271</v>
      </c>
      <c r="K23" s="361">
        <v>160</v>
      </c>
      <c r="L23" s="270">
        <v>170</v>
      </c>
      <c r="M23" s="271">
        <v>-175</v>
      </c>
      <c r="N23" s="201">
        <f t="shared" ca="1" si="25"/>
        <v>170</v>
      </c>
      <c r="O23" s="202" t="s">
        <v>808</v>
      </c>
      <c r="P23" s="361">
        <v>105</v>
      </c>
      <c r="Q23" s="270">
        <v>110</v>
      </c>
      <c r="R23" s="203">
        <v>0</v>
      </c>
      <c r="S23" s="201">
        <f t="shared" ca="1" si="26"/>
        <v>110</v>
      </c>
      <c r="T23" s="201">
        <f t="shared" ca="1" si="27"/>
        <v>280</v>
      </c>
      <c r="U23" s="363">
        <v>-160</v>
      </c>
      <c r="V23" s="271">
        <v>-160</v>
      </c>
      <c r="W23" s="270">
        <v>160</v>
      </c>
      <c r="X23" s="201">
        <f t="shared" ca="1" si="28"/>
        <v>160</v>
      </c>
      <c r="Y23" s="201">
        <f t="shared" ca="1" si="29"/>
        <v>440</v>
      </c>
      <c r="Z23" s="87" t="str">
        <f t="shared" ca="1" si="30"/>
        <v>9/M-JR-U/74/PL</v>
      </c>
      <c r="AA23" s="224">
        <f t="shared" si="31"/>
        <v>440</v>
      </c>
      <c r="AB23" s="201">
        <f t="shared" ca="1" si="32"/>
        <v>9</v>
      </c>
      <c r="AC23" s="335">
        <f t="shared" ca="1" si="33"/>
        <v>64.82432</v>
      </c>
      <c r="AD23" s="224">
        <f ca="1">IFERROR(VLOOKUP(AS23,DATA!$A$2:$B$63,2,TRUE),0)*AC23</f>
        <v>165.23719168</v>
      </c>
      <c r="AE23" s="88" t="s">
        <v>69</v>
      </c>
      <c r="AF23" s="88"/>
      <c r="AG23" s="86"/>
      <c r="AH23" s="86">
        <f>IFERROR(VLOOKUP(A23,Setup!$Q$5:$R$20,2,FALSE),"")</f>
        <v>1</v>
      </c>
      <c r="AI23" s="89">
        <f t="shared" ca="1" si="34"/>
        <v>160.00004100000001</v>
      </c>
      <c r="AJ23" s="86">
        <v>44</v>
      </c>
      <c r="AK23" s="86">
        <v>35</v>
      </c>
      <c r="AL23" s="86">
        <v>41</v>
      </c>
      <c r="AM23" s="86">
        <f t="shared" si="35"/>
        <v>1</v>
      </c>
      <c r="AN23" s="86">
        <f>VLOOKUP(D23,Setup!$I$6:$K$92,3,FALSE)</f>
        <v>1</v>
      </c>
      <c r="AO23" s="86">
        <f t="shared" ca="1" si="36"/>
        <v>440</v>
      </c>
      <c r="AP23" s="115"/>
      <c r="AQ23" s="116">
        <f>IFERROR(MATCH(D23,Setup!$I$6:$I$92,0),"")</f>
        <v>9</v>
      </c>
      <c r="AR23" s="116" t="str">
        <f ca="1">IFERROR(CONCATENATE(LEFT(D23,FIND("-",D23)),IF(AS23="","O",VLOOKUP(AS23,DATA!$E$35:$F$53,2,TRUE))),"")</f>
        <v>M-M6</v>
      </c>
      <c r="AS23" s="136">
        <f t="shared" ca="1" si="37"/>
        <v>2019</v>
      </c>
      <c r="AT23" s="116" t="e">
        <f>IF(AN23=1,MATCH(F23,DATA!$AB$2:$AB$34,0),0)</f>
        <v>#N/A</v>
      </c>
      <c r="AU23" s="86"/>
      <c r="AV23" s="86">
        <f t="shared" si="38"/>
        <v>170</v>
      </c>
      <c r="AW23" s="86">
        <f t="shared" si="39"/>
        <v>110</v>
      </c>
      <c r="AX23" s="86">
        <f t="shared" si="40"/>
        <v>160</v>
      </c>
      <c r="AY23" s="86">
        <f t="shared" si="41"/>
        <v>440</v>
      </c>
      <c r="AZ23" s="90">
        <f>IFERROR(IPF_Formula(E23,I23,AY23),0)</f>
        <v>0</v>
      </c>
      <c r="BA23" s="90">
        <f ca="1">ROUND(IFERROR(VLOOKUP(AS23,DATA!$A$2:$B$63,2,FALSE),1)*AZ23,5)</f>
        <v>0</v>
      </c>
      <c r="BB23" s="86">
        <f t="shared" si="42"/>
        <v>440</v>
      </c>
      <c r="BC23" s="116"/>
      <c r="BD23" s="116"/>
      <c r="BE23" s="116"/>
      <c r="BF23" s="86"/>
      <c r="BG23" s="91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 t="str">
        <f t="shared" si="43"/>
        <v/>
      </c>
      <c r="CA23" s="86"/>
      <c r="CB23" s="86" t="str">
        <f t="shared" si="44"/>
        <v>M-JR-U74</v>
      </c>
      <c r="CC23" s="86">
        <f t="shared" si="45"/>
        <v>41</v>
      </c>
      <c r="CD23" s="86">
        <f t="shared" ca="1" si="46"/>
        <v>9</v>
      </c>
      <c r="CE23" s="86">
        <f t="shared" ca="1" si="47"/>
        <v>9</v>
      </c>
      <c r="CF23" s="261"/>
      <c r="CG23" s="336">
        <f>IF(OR($E23="",$E23=0),0, ROUND(100/(VLOOKUP($I23,'IPF Formula'!$A$3:$F$10,4,FALSE)-VLOOKUP($I23,'IPF Formula'!$A$3:$F$10,5,FALSE)*EXP(-VLOOKUP($I23,'IPF Formula'!$A$3:$F$10,6,FALSE)*$E23)),6))</f>
        <v>0.14732799999999999</v>
      </c>
    </row>
    <row r="24" spans="1:85" s="263" customFormat="1" ht="15.75" x14ac:dyDescent="0.2">
      <c r="A24" s="84" t="s">
        <v>70</v>
      </c>
      <c r="B24" s="85" t="s">
        <v>1250</v>
      </c>
      <c r="C24" s="84" t="s">
        <v>1264</v>
      </c>
      <c r="D24" s="88" t="s">
        <v>1201</v>
      </c>
      <c r="E24" s="88">
        <v>73.3</v>
      </c>
      <c r="F24" s="201" t="str">
        <f>一般判定(IFERROR(VLOOKUP(E24,DATA!$E$2:$G$22,IF(LEFT(D24,1)="M",2,3)),""),D24)</f>
        <v>74</v>
      </c>
      <c r="G24" s="88">
        <v>43</v>
      </c>
      <c r="H24" s="216">
        <v>4</v>
      </c>
      <c r="I24" s="220" t="str">
        <f t="shared" si="24"/>
        <v>MCP</v>
      </c>
      <c r="J24" s="202" t="s">
        <v>1275</v>
      </c>
      <c r="K24" s="361">
        <v>125</v>
      </c>
      <c r="L24" s="270">
        <v>140</v>
      </c>
      <c r="M24" s="271">
        <v>-145</v>
      </c>
      <c r="N24" s="201">
        <f t="shared" ca="1" si="25"/>
        <v>140</v>
      </c>
      <c r="O24" s="202" t="s">
        <v>810</v>
      </c>
      <c r="P24" s="361">
        <v>80</v>
      </c>
      <c r="Q24" s="271">
        <v>-90</v>
      </c>
      <c r="R24" s="270">
        <v>90</v>
      </c>
      <c r="S24" s="201">
        <f t="shared" ca="1" si="26"/>
        <v>90</v>
      </c>
      <c r="T24" s="201">
        <f t="shared" ca="1" si="27"/>
        <v>230</v>
      </c>
      <c r="U24" s="361">
        <v>150</v>
      </c>
      <c r="V24" s="270">
        <v>160</v>
      </c>
      <c r="W24" s="270">
        <v>170</v>
      </c>
      <c r="X24" s="201">
        <f t="shared" ca="1" si="28"/>
        <v>170</v>
      </c>
      <c r="Y24" s="201">
        <f t="shared" ca="1" si="29"/>
        <v>400</v>
      </c>
      <c r="Z24" s="87" t="str">
        <f t="shared" ca="1" si="30"/>
        <v>16/M-JR-U/74/PL</v>
      </c>
      <c r="AA24" s="224">
        <f t="shared" si="31"/>
        <v>400</v>
      </c>
      <c r="AB24" s="201">
        <f t="shared" ca="1" si="32"/>
        <v>16</v>
      </c>
      <c r="AC24" s="335">
        <f t="shared" ca="1" si="33"/>
        <v>59.014400000000002</v>
      </c>
      <c r="AD24" s="224">
        <f ca="1">IFERROR(VLOOKUP(AS24,DATA!$A$2:$B$63,2,TRUE),0)*AC24</f>
        <v>150.4277056</v>
      </c>
      <c r="AE24" s="88" t="s">
        <v>69</v>
      </c>
      <c r="AF24" s="88"/>
      <c r="AG24" s="86"/>
      <c r="AH24" s="86">
        <f>IFERROR(VLOOKUP(A24,Setup!$Q$5:$R$20,2,FALSE),"")</f>
        <v>1</v>
      </c>
      <c r="AI24" s="89">
        <f t="shared" ca="1" si="34"/>
        <v>125.00004300000001</v>
      </c>
      <c r="AJ24" s="86">
        <v>41</v>
      </c>
      <c r="AK24" s="86">
        <v>40</v>
      </c>
      <c r="AL24" s="86">
        <v>42</v>
      </c>
      <c r="AM24" s="86">
        <f t="shared" si="35"/>
        <v>1</v>
      </c>
      <c r="AN24" s="86">
        <f>VLOOKUP(D24,Setup!$I$6:$K$92,3,FALSE)</f>
        <v>1</v>
      </c>
      <c r="AO24" s="86">
        <f t="shared" ca="1" si="36"/>
        <v>400</v>
      </c>
      <c r="AP24" s="115"/>
      <c r="AQ24" s="116">
        <f>IFERROR(MATCH(D24,Setup!$I$6:$I$92,0),"")</f>
        <v>9</v>
      </c>
      <c r="AR24" s="116" t="str">
        <f ca="1">IFERROR(CONCATENATE(LEFT(D24,FIND("-",D24)),IF(AS24="","O",VLOOKUP(AS24,DATA!$E$35:$F$53,2,TRUE))),"")</f>
        <v>M-M6</v>
      </c>
      <c r="AS24" s="136">
        <f t="shared" ca="1" si="37"/>
        <v>2018</v>
      </c>
      <c r="AT24" s="116" t="e">
        <f>IF(AN24=1,MATCH(F24,DATA!$AB$2:$AB$34,0),0)</f>
        <v>#N/A</v>
      </c>
      <c r="AU24" s="86"/>
      <c r="AV24" s="86">
        <f t="shared" si="38"/>
        <v>140</v>
      </c>
      <c r="AW24" s="86">
        <f t="shared" si="39"/>
        <v>90</v>
      </c>
      <c r="AX24" s="86">
        <f t="shared" si="40"/>
        <v>170</v>
      </c>
      <c r="AY24" s="86">
        <f t="shared" si="41"/>
        <v>400</v>
      </c>
      <c r="AZ24" s="90">
        <f>IFERROR(IPF_Formula(E24,I24,AY24),0)</f>
        <v>0</v>
      </c>
      <c r="BA24" s="90">
        <f ca="1">ROUND(IFERROR(VLOOKUP(AS24,DATA!$A$2:$B$63,2,FALSE),1)*AZ24,5)</f>
        <v>0</v>
      </c>
      <c r="BB24" s="86">
        <f t="shared" si="42"/>
        <v>400</v>
      </c>
      <c r="BC24" s="116"/>
      <c r="BD24" s="116"/>
      <c r="BE24" s="116"/>
      <c r="BF24" s="86"/>
      <c r="BG24" s="91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 t="str">
        <f t="shared" si="43"/>
        <v/>
      </c>
      <c r="CA24" s="86"/>
      <c r="CB24" s="86" t="str">
        <f t="shared" si="44"/>
        <v>M-JR-U74</v>
      </c>
      <c r="CC24" s="86">
        <f t="shared" si="45"/>
        <v>42</v>
      </c>
      <c r="CD24" s="86">
        <f t="shared" ca="1" si="46"/>
        <v>16</v>
      </c>
      <c r="CE24" s="86">
        <f t="shared" ca="1" si="47"/>
        <v>16</v>
      </c>
      <c r="CF24" s="261"/>
      <c r="CG24" s="336">
        <f>IF(OR($E24="",$E24=0),0, ROUND(100/(VLOOKUP($I24,'IPF Formula'!$A$3:$F$10,4,FALSE)-VLOOKUP($I24,'IPF Formula'!$A$3:$F$10,5,FALSE)*EXP(-VLOOKUP($I24,'IPF Formula'!$A$3:$F$10,6,FALSE)*$E24)),6))</f>
        <v>0.147536</v>
      </c>
    </row>
    <row r="25" spans="1:85" s="263" customFormat="1" ht="15.75" x14ac:dyDescent="0.2">
      <c r="A25" s="84" t="s">
        <v>70</v>
      </c>
      <c r="B25" s="85" t="s">
        <v>1252</v>
      </c>
      <c r="C25" s="84" t="s">
        <v>1263</v>
      </c>
      <c r="D25" s="88" t="s">
        <v>1201</v>
      </c>
      <c r="E25" s="88">
        <v>71.599999999999994</v>
      </c>
      <c r="F25" s="201" t="str">
        <f>一般判定(IFERROR(VLOOKUP(E25,DATA!$E$2:$G$22,IF(LEFT(D25,1)="M",2,3)),""),D25)</f>
        <v>74</v>
      </c>
      <c r="G25" s="88">
        <v>45</v>
      </c>
      <c r="H25" s="216">
        <v>1</v>
      </c>
      <c r="I25" s="220" t="str">
        <f t="shared" si="24"/>
        <v>MCP</v>
      </c>
      <c r="J25" s="202" t="s">
        <v>1268</v>
      </c>
      <c r="K25" s="361">
        <v>110</v>
      </c>
      <c r="L25" s="270">
        <v>125</v>
      </c>
      <c r="M25" s="270">
        <v>140</v>
      </c>
      <c r="N25" s="201">
        <f t="shared" ca="1" si="25"/>
        <v>140</v>
      </c>
      <c r="O25" s="202" t="s">
        <v>1278</v>
      </c>
      <c r="P25" s="361">
        <v>105</v>
      </c>
      <c r="Q25" s="270">
        <v>110</v>
      </c>
      <c r="R25" s="271">
        <v>-115</v>
      </c>
      <c r="S25" s="201">
        <f t="shared" ca="1" si="26"/>
        <v>110</v>
      </c>
      <c r="T25" s="201">
        <f t="shared" ca="1" si="27"/>
        <v>250</v>
      </c>
      <c r="U25" s="361">
        <v>150</v>
      </c>
      <c r="V25" s="270">
        <v>160</v>
      </c>
      <c r="W25" s="271">
        <v>-172.5</v>
      </c>
      <c r="X25" s="201">
        <f t="shared" ca="1" si="28"/>
        <v>160</v>
      </c>
      <c r="Y25" s="201">
        <f t="shared" ca="1" si="29"/>
        <v>410</v>
      </c>
      <c r="Z25" s="87" t="str">
        <f t="shared" ca="1" si="30"/>
        <v>13/M-JR-U/74/PL</v>
      </c>
      <c r="AA25" s="224">
        <f t="shared" si="31"/>
        <v>410</v>
      </c>
      <c r="AB25" s="201">
        <f t="shared" ca="1" si="32"/>
        <v>13</v>
      </c>
      <c r="AC25" s="335">
        <f t="shared" ca="1" si="33"/>
        <v>61.233910000000002</v>
      </c>
      <c r="AD25" s="224">
        <f ca="1">IFERROR(VLOOKUP(AS25,DATA!$A$2:$B$63,2,TRUE),0)*AC25</f>
        <v>156.08523658999999</v>
      </c>
      <c r="AE25" s="88" t="s">
        <v>69</v>
      </c>
      <c r="AF25" s="88"/>
      <c r="AG25" s="86"/>
      <c r="AH25" s="86">
        <f>IFERROR(VLOOKUP(A25,Setup!$Q$5:$R$20,2,FALSE),"")</f>
        <v>1</v>
      </c>
      <c r="AI25" s="89">
        <f t="shared" ca="1" si="34"/>
        <v>110.000045</v>
      </c>
      <c r="AJ25" s="86">
        <v>47</v>
      </c>
      <c r="AK25" s="86">
        <v>36</v>
      </c>
      <c r="AL25" s="86">
        <v>33</v>
      </c>
      <c r="AM25" s="86">
        <f t="shared" si="35"/>
        <v>1</v>
      </c>
      <c r="AN25" s="86">
        <f>VLOOKUP(D25,Setup!$I$6:$K$92,3,FALSE)</f>
        <v>1</v>
      </c>
      <c r="AO25" s="86">
        <f t="shared" ca="1" si="36"/>
        <v>410</v>
      </c>
      <c r="AP25" s="115"/>
      <c r="AQ25" s="116">
        <f>IFERROR(MATCH(D25,Setup!$I$6:$I$92,0),"")</f>
        <v>9</v>
      </c>
      <c r="AR25" s="116" t="str">
        <f ca="1">IFERROR(CONCATENATE(LEFT(D25,FIND("-",D25)),IF(AS25="","O",VLOOKUP(AS25,DATA!$E$35:$F$53,2,TRUE))),"")</f>
        <v>M-M6</v>
      </c>
      <c r="AS25" s="136">
        <f t="shared" ca="1" si="37"/>
        <v>2021</v>
      </c>
      <c r="AT25" s="116" t="e">
        <f>IF(AN25=1,MATCH(F25,DATA!$AB$2:$AB$34,0),0)</f>
        <v>#N/A</v>
      </c>
      <c r="AU25" s="86"/>
      <c r="AV25" s="86">
        <f t="shared" si="38"/>
        <v>140</v>
      </c>
      <c r="AW25" s="86">
        <f t="shared" si="39"/>
        <v>110</v>
      </c>
      <c r="AX25" s="86">
        <f t="shared" si="40"/>
        <v>160</v>
      </c>
      <c r="AY25" s="86">
        <f t="shared" si="41"/>
        <v>410</v>
      </c>
      <c r="AZ25" s="90">
        <f>IFERROR(IPF_Formula(E25,I25,AY25),0)</f>
        <v>0</v>
      </c>
      <c r="BA25" s="90">
        <f ca="1">ROUND(IFERROR(VLOOKUP(AS25,DATA!$A$2:$B$63,2,FALSE),1)*AZ25,5)</f>
        <v>0</v>
      </c>
      <c r="BB25" s="86">
        <f t="shared" si="42"/>
        <v>410</v>
      </c>
      <c r="BC25" s="116"/>
      <c r="BD25" s="116"/>
      <c r="BE25" s="116"/>
      <c r="BF25" s="86"/>
      <c r="BG25" s="91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 t="str">
        <f t="shared" si="43"/>
        <v/>
      </c>
      <c r="CA25" s="86"/>
      <c r="CB25" s="86" t="str">
        <f t="shared" si="44"/>
        <v>M-JR-U74</v>
      </c>
      <c r="CC25" s="86">
        <f t="shared" si="45"/>
        <v>33</v>
      </c>
      <c r="CD25" s="86">
        <f t="shared" ca="1" si="46"/>
        <v>13</v>
      </c>
      <c r="CE25" s="86">
        <f t="shared" ca="1" si="47"/>
        <v>13</v>
      </c>
      <c r="CF25" s="261"/>
      <c r="CG25" s="336">
        <f>IF(OR($E25="",$E25=0),0, ROUND(100/(VLOOKUP($I25,'IPF Formula'!$A$3:$F$10,4,FALSE)-VLOOKUP($I25,'IPF Formula'!$A$3:$F$10,5,FALSE)*EXP(-VLOOKUP($I25,'IPF Formula'!$A$3:$F$10,6,FALSE)*$E25)),6))</f>
        <v>0.14935100000000001</v>
      </c>
    </row>
    <row r="26" spans="1:85" s="263" customFormat="1" ht="15.75" x14ac:dyDescent="0.2">
      <c r="A26" s="84" t="s">
        <v>70</v>
      </c>
      <c r="B26" s="85" t="s">
        <v>1249</v>
      </c>
      <c r="C26" s="84" t="s">
        <v>1261</v>
      </c>
      <c r="D26" s="88" t="s">
        <v>1201</v>
      </c>
      <c r="E26" s="88">
        <v>73.099999999999994</v>
      </c>
      <c r="F26" s="201" t="str">
        <f>一般判定(IFERROR(VLOOKUP(E26,DATA!$E$2:$G$22,IF(LEFT(D26,1)="M",2,3)),""),D26)</f>
        <v>74</v>
      </c>
      <c r="G26" s="88">
        <v>42</v>
      </c>
      <c r="H26" s="216">
        <v>1</v>
      </c>
      <c r="I26" s="220" t="str">
        <f t="shared" si="24"/>
        <v>MCP</v>
      </c>
      <c r="J26" s="202" t="s">
        <v>811</v>
      </c>
      <c r="K26" s="361">
        <v>130</v>
      </c>
      <c r="L26" s="270">
        <v>140</v>
      </c>
      <c r="M26" s="270">
        <v>145</v>
      </c>
      <c r="N26" s="201">
        <f t="shared" ca="1" si="25"/>
        <v>145</v>
      </c>
      <c r="O26" s="202" t="s">
        <v>1274</v>
      </c>
      <c r="P26" s="361">
        <v>70</v>
      </c>
      <c r="Q26" s="271">
        <v>-75</v>
      </c>
      <c r="R26" s="271">
        <v>-75</v>
      </c>
      <c r="S26" s="201">
        <f t="shared" ca="1" si="26"/>
        <v>70</v>
      </c>
      <c r="T26" s="201">
        <f t="shared" ca="1" si="27"/>
        <v>215</v>
      </c>
      <c r="U26" s="361">
        <v>170</v>
      </c>
      <c r="V26" s="270">
        <v>180</v>
      </c>
      <c r="W26" s="270">
        <v>190</v>
      </c>
      <c r="X26" s="201">
        <f t="shared" ca="1" si="28"/>
        <v>190</v>
      </c>
      <c r="Y26" s="201">
        <f t="shared" ca="1" si="29"/>
        <v>405</v>
      </c>
      <c r="Z26" s="87" t="str">
        <f t="shared" ca="1" si="30"/>
        <v>15/M-JR-U/74/PL</v>
      </c>
      <c r="AA26" s="224">
        <f t="shared" si="31"/>
        <v>405</v>
      </c>
      <c r="AB26" s="201">
        <f t="shared" ca="1" si="32"/>
        <v>15</v>
      </c>
      <c r="AC26" s="335">
        <f t="shared" ca="1" si="33"/>
        <v>59.837129999999995</v>
      </c>
      <c r="AD26" s="224">
        <f ca="1">IFERROR(VLOOKUP(AS26,DATA!$A$2:$B$63,2,TRUE),0)*AC26</f>
        <v>152.52484436999998</v>
      </c>
      <c r="AE26" s="88" t="s">
        <v>69</v>
      </c>
      <c r="AF26" s="88"/>
      <c r="AG26" s="86"/>
      <c r="AH26" s="86">
        <f>IFERROR(VLOOKUP(A26,Setup!$Q$5:$R$20,2,FALSE),"")</f>
        <v>1</v>
      </c>
      <c r="AI26" s="89">
        <f t="shared" ca="1" si="34"/>
        <v>130.00004200000001</v>
      </c>
      <c r="AJ26" s="86">
        <v>48</v>
      </c>
      <c r="AK26" s="86">
        <v>22</v>
      </c>
      <c r="AL26" s="86">
        <v>43</v>
      </c>
      <c r="AM26" s="86">
        <f t="shared" si="35"/>
        <v>1</v>
      </c>
      <c r="AN26" s="86">
        <f>VLOOKUP(D26,Setup!$I$6:$K$92,3,FALSE)</f>
        <v>1</v>
      </c>
      <c r="AO26" s="86">
        <f t="shared" ca="1" si="36"/>
        <v>405</v>
      </c>
      <c r="AP26" s="115"/>
      <c r="AQ26" s="116">
        <f>IFERROR(MATCH(D26,Setup!$I$6:$I$92,0),"")</f>
        <v>9</v>
      </c>
      <c r="AR26" s="116" t="str">
        <f ca="1">IFERROR(CONCATENATE(LEFT(D26,FIND("-",D26)),IF(AS26="","O",VLOOKUP(AS26,DATA!$E$35:$F$53,2,TRUE))),"")</f>
        <v>M-M6</v>
      </c>
      <c r="AS26" s="136">
        <f t="shared" ca="1" si="37"/>
        <v>2021</v>
      </c>
      <c r="AT26" s="116" t="e">
        <f>IF(AN26=1,MATCH(F26,DATA!$AB$2:$AB$34,0),0)</f>
        <v>#N/A</v>
      </c>
      <c r="AU26" s="86"/>
      <c r="AV26" s="86">
        <f t="shared" si="38"/>
        <v>145</v>
      </c>
      <c r="AW26" s="86">
        <f t="shared" si="39"/>
        <v>70</v>
      </c>
      <c r="AX26" s="86">
        <f t="shared" si="40"/>
        <v>190</v>
      </c>
      <c r="AY26" s="86">
        <f t="shared" si="41"/>
        <v>405</v>
      </c>
      <c r="AZ26" s="90">
        <f>IFERROR(IPF_Formula(E26,I26,AY26),0)</f>
        <v>0</v>
      </c>
      <c r="BA26" s="90">
        <f ca="1">ROUND(IFERROR(VLOOKUP(AS26,DATA!$A$2:$B$63,2,FALSE),1)*AZ26,5)</f>
        <v>0</v>
      </c>
      <c r="BB26" s="86">
        <f t="shared" si="42"/>
        <v>405</v>
      </c>
      <c r="BC26" s="116"/>
      <c r="BD26" s="116"/>
      <c r="BE26" s="116"/>
      <c r="BF26" s="86"/>
      <c r="BG26" s="91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 t="str">
        <f t="shared" si="43"/>
        <v/>
      </c>
      <c r="CA26" s="86"/>
      <c r="CB26" s="86" t="str">
        <f t="shared" si="44"/>
        <v>M-JR-U74</v>
      </c>
      <c r="CC26" s="86">
        <f t="shared" si="45"/>
        <v>43</v>
      </c>
      <c r="CD26" s="86">
        <f t="shared" ca="1" si="46"/>
        <v>15</v>
      </c>
      <c r="CE26" s="86">
        <f t="shared" ca="1" si="47"/>
        <v>15</v>
      </c>
      <c r="CF26" s="261"/>
      <c r="CG26" s="336">
        <f>IF(OR($E26="",$E26=0),0, ROUND(100/(VLOOKUP($I26,'IPF Formula'!$A$3:$F$10,4,FALSE)-VLOOKUP($I26,'IPF Formula'!$A$3:$F$10,5,FALSE)*EXP(-VLOOKUP($I26,'IPF Formula'!$A$3:$F$10,6,FALSE)*$E26)),6))</f>
        <v>0.14774599999999999</v>
      </c>
    </row>
    <row r="27" spans="1:85" s="263" customFormat="1" ht="15.75" x14ac:dyDescent="0.2">
      <c r="A27" s="84" t="s">
        <v>70</v>
      </c>
      <c r="B27" s="85" t="s">
        <v>1254</v>
      </c>
      <c r="C27" s="84" t="s">
        <v>1264</v>
      </c>
      <c r="D27" s="88" t="s">
        <v>1201</v>
      </c>
      <c r="E27" s="88">
        <v>72.599999999999994</v>
      </c>
      <c r="F27" s="201" t="str">
        <f>一般判定(IFERROR(VLOOKUP(E27,DATA!$E$2:$G$22,IF(LEFT(D27,1)="M",2,3)),""),D27)</f>
        <v>74</v>
      </c>
      <c r="G27" s="88">
        <v>47</v>
      </c>
      <c r="H27" s="216">
        <v>4</v>
      </c>
      <c r="I27" s="220" t="str">
        <f t="shared" si="24"/>
        <v>MCP</v>
      </c>
      <c r="J27" s="202" t="s">
        <v>808</v>
      </c>
      <c r="K27" s="361">
        <v>175</v>
      </c>
      <c r="L27" s="271">
        <v>-185</v>
      </c>
      <c r="M27" s="270">
        <v>190</v>
      </c>
      <c r="N27" s="201">
        <f t="shared" ca="1" si="25"/>
        <v>190</v>
      </c>
      <c r="O27" s="202" t="s">
        <v>1274</v>
      </c>
      <c r="P27" s="361">
        <v>95</v>
      </c>
      <c r="Q27" s="270">
        <v>105</v>
      </c>
      <c r="R27" s="271">
        <v>-112.5</v>
      </c>
      <c r="S27" s="201">
        <f t="shared" ca="1" si="26"/>
        <v>105</v>
      </c>
      <c r="T27" s="201">
        <f t="shared" ca="1" si="27"/>
        <v>295</v>
      </c>
      <c r="U27" s="361">
        <v>165</v>
      </c>
      <c r="V27" s="270">
        <v>175</v>
      </c>
      <c r="W27" s="271">
        <v>-190</v>
      </c>
      <c r="X27" s="201">
        <f t="shared" ca="1" si="28"/>
        <v>175</v>
      </c>
      <c r="Y27" s="201">
        <f t="shared" ca="1" si="29"/>
        <v>470</v>
      </c>
      <c r="Z27" s="87" t="str">
        <f t="shared" ca="1" si="30"/>
        <v>6/M-JR-U/74/PL</v>
      </c>
      <c r="AA27" s="224">
        <f t="shared" si="31"/>
        <v>470</v>
      </c>
      <c r="AB27" s="201">
        <f t="shared" ca="1" si="32"/>
        <v>6</v>
      </c>
      <c r="AC27" s="335">
        <f t="shared" ca="1" si="33"/>
        <v>69.689250000000001</v>
      </c>
      <c r="AD27" s="224">
        <f ca="1">IFERROR(VLOOKUP(AS27,DATA!$A$2:$B$63,2,TRUE),0)*AC27</f>
        <v>177.63789825000001</v>
      </c>
      <c r="AE27" s="88" t="s">
        <v>69</v>
      </c>
      <c r="AF27" s="88"/>
      <c r="AG27" s="86"/>
      <c r="AH27" s="86">
        <f>IFERROR(VLOOKUP(A27,Setup!$Q$5:$R$20,2,FALSE),"")</f>
        <v>1</v>
      </c>
      <c r="AI27" s="89">
        <f t="shared" ca="1" si="34"/>
        <v>175.000047</v>
      </c>
      <c r="AJ27" s="86">
        <v>51</v>
      </c>
      <c r="AK27" s="86">
        <v>34</v>
      </c>
      <c r="AL27" s="86">
        <v>34</v>
      </c>
      <c r="AM27" s="86">
        <f t="shared" si="35"/>
        <v>1</v>
      </c>
      <c r="AN27" s="86">
        <f>VLOOKUP(D27,Setup!$I$6:$K$92,3,FALSE)</f>
        <v>1</v>
      </c>
      <c r="AO27" s="86">
        <f t="shared" ca="1" si="36"/>
        <v>470</v>
      </c>
      <c r="AP27" s="115"/>
      <c r="AQ27" s="116">
        <f>IFERROR(MATCH(D27,Setup!$I$6:$I$92,0),"")</f>
        <v>9</v>
      </c>
      <c r="AR27" s="116" t="str">
        <f ca="1">IFERROR(CONCATENATE(LEFT(D27,FIND("-",D27)),IF(AS27="","O",VLOOKUP(AS27,DATA!$E$35:$F$53,2,TRUE))),"")</f>
        <v>M-M6</v>
      </c>
      <c r="AS27" s="136">
        <f t="shared" ca="1" si="37"/>
        <v>2018</v>
      </c>
      <c r="AT27" s="116" t="e">
        <f>IF(AN27=1,MATCH(F27,DATA!$AB$2:$AB$34,0),0)</f>
        <v>#N/A</v>
      </c>
      <c r="AU27" s="86"/>
      <c r="AV27" s="86">
        <f t="shared" si="38"/>
        <v>190</v>
      </c>
      <c r="AW27" s="86">
        <f t="shared" si="39"/>
        <v>105</v>
      </c>
      <c r="AX27" s="86">
        <f t="shared" si="40"/>
        <v>175</v>
      </c>
      <c r="AY27" s="86">
        <f t="shared" si="41"/>
        <v>470</v>
      </c>
      <c r="AZ27" s="90">
        <f>IFERROR(IPF_Formula(E27,I27,AY27),0)</f>
        <v>0</v>
      </c>
      <c r="BA27" s="90">
        <f ca="1">ROUND(IFERROR(VLOOKUP(AS27,DATA!$A$2:$B$63,2,FALSE),1)*AZ27,5)</f>
        <v>0</v>
      </c>
      <c r="BB27" s="86">
        <f t="shared" si="42"/>
        <v>470</v>
      </c>
      <c r="BC27" s="116"/>
      <c r="BD27" s="116"/>
      <c r="BE27" s="116"/>
      <c r="BF27" s="86"/>
      <c r="BG27" s="91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 t="str">
        <f t="shared" si="43"/>
        <v/>
      </c>
      <c r="CA27" s="86"/>
      <c r="CB27" s="86" t="str">
        <f t="shared" si="44"/>
        <v>M-JR-U74</v>
      </c>
      <c r="CC27" s="86">
        <f t="shared" si="45"/>
        <v>34</v>
      </c>
      <c r="CD27" s="86">
        <f t="shared" ca="1" si="46"/>
        <v>6</v>
      </c>
      <c r="CE27" s="86">
        <f t="shared" ca="1" si="47"/>
        <v>6</v>
      </c>
      <c r="CF27" s="261"/>
      <c r="CG27" s="336">
        <f>IF(OR($E27="",$E27=0),0, ROUND(100/(VLOOKUP($I27,'IPF Formula'!$A$3:$F$10,4,FALSE)-VLOOKUP($I27,'IPF Formula'!$A$3:$F$10,5,FALSE)*EXP(-VLOOKUP($I27,'IPF Formula'!$A$3:$F$10,6,FALSE)*$E27)),6))</f>
        <v>0.14827499999999999</v>
      </c>
    </row>
    <row r="28" spans="1:85" s="263" customFormat="1" ht="15.75" x14ac:dyDescent="0.2">
      <c r="A28" s="84" t="s">
        <v>70</v>
      </c>
      <c r="B28" s="85" t="s">
        <v>1253</v>
      </c>
      <c r="C28" s="84" t="s">
        <v>1265</v>
      </c>
      <c r="D28" s="88" t="s">
        <v>1201</v>
      </c>
      <c r="E28" s="88">
        <v>73</v>
      </c>
      <c r="F28" s="201" t="str">
        <f>一般判定(IFERROR(VLOOKUP(E28,DATA!$E$2:$G$22,IF(LEFT(D28,1)="M",2,3)),""),D28)</f>
        <v>74</v>
      </c>
      <c r="G28" s="88">
        <v>13</v>
      </c>
      <c r="H28" s="216">
        <v>1</v>
      </c>
      <c r="I28" s="220" t="str">
        <f t="shared" si="24"/>
        <v>MCP</v>
      </c>
      <c r="J28" s="202" t="s">
        <v>1271</v>
      </c>
      <c r="K28" s="361">
        <v>150</v>
      </c>
      <c r="L28" s="270">
        <v>160</v>
      </c>
      <c r="M28" s="271">
        <v>-165</v>
      </c>
      <c r="N28" s="201">
        <f t="shared" ca="1" si="25"/>
        <v>160</v>
      </c>
      <c r="O28" s="202" t="s">
        <v>808</v>
      </c>
      <c r="P28" s="361">
        <v>80</v>
      </c>
      <c r="Q28" s="270">
        <v>90</v>
      </c>
      <c r="R28" s="271">
        <v>-100</v>
      </c>
      <c r="S28" s="201">
        <f t="shared" ca="1" si="26"/>
        <v>90</v>
      </c>
      <c r="T28" s="201">
        <f t="shared" ca="1" si="27"/>
        <v>250</v>
      </c>
      <c r="U28" s="361">
        <v>180</v>
      </c>
      <c r="V28" s="270">
        <v>190</v>
      </c>
      <c r="W28" s="271">
        <v>-200</v>
      </c>
      <c r="X28" s="201">
        <f t="shared" ca="1" si="28"/>
        <v>190</v>
      </c>
      <c r="Y28" s="201">
        <f t="shared" ca="1" si="29"/>
        <v>440</v>
      </c>
      <c r="Z28" s="87" t="str">
        <f t="shared" ca="1" si="30"/>
        <v>8/M-JR-U/74/PL</v>
      </c>
      <c r="AA28" s="224">
        <f t="shared" si="31"/>
        <v>440</v>
      </c>
      <c r="AB28" s="201">
        <f t="shared" ca="1" si="32"/>
        <v>8</v>
      </c>
      <c r="AC28" s="335">
        <f t="shared" ca="1" si="33"/>
        <v>65.05444</v>
      </c>
      <c r="AD28" s="224">
        <f ca="1">IFERROR(VLOOKUP(AS28,DATA!$A$2:$B$63,2,TRUE),0)*AC28</f>
        <v>165.82376755999999</v>
      </c>
      <c r="AE28" s="88" t="s">
        <v>69</v>
      </c>
      <c r="AF28" s="88"/>
      <c r="AG28" s="86"/>
      <c r="AH28" s="86">
        <f>IFERROR(VLOOKUP(A28,Setup!$Q$5:$R$20,2,FALSE),"")</f>
        <v>1</v>
      </c>
      <c r="AI28" s="89">
        <f t="shared" ca="1" si="34"/>
        <v>150.000013</v>
      </c>
      <c r="AJ28" s="86">
        <v>42</v>
      </c>
      <c r="AK28" s="86">
        <v>32</v>
      </c>
      <c r="AL28" s="86">
        <v>36</v>
      </c>
      <c r="AM28" s="86">
        <f t="shared" si="35"/>
        <v>1</v>
      </c>
      <c r="AN28" s="86">
        <f>VLOOKUP(D28,Setup!$I$6:$K$92,3,FALSE)</f>
        <v>1</v>
      </c>
      <c r="AO28" s="86">
        <f t="shared" ca="1" si="36"/>
        <v>440</v>
      </c>
      <c r="AP28" s="115"/>
      <c r="AQ28" s="116">
        <f>IFERROR(MATCH(D28,Setup!$I$6:$I$92,0),"")</f>
        <v>9</v>
      </c>
      <c r="AR28" s="116" t="str">
        <f ca="1">IFERROR(CONCATENATE(LEFT(D28,FIND("-",D28)),IF(AS28="","O",VLOOKUP(AS28,DATA!$E$35:$F$53,2,TRUE))),"")</f>
        <v>M-M6</v>
      </c>
      <c r="AS28" s="136">
        <f t="shared" ca="1" si="37"/>
        <v>2021</v>
      </c>
      <c r="AT28" s="116" t="e">
        <f>IF(AN28=1,MATCH(F28,DATA!$AB$2:$AB$34,0),0)</f>
        <v>#N/A</v>
      </c>
      <c r="AU28" s="86"/>
      <c r="AV28" s="86">
        <f t="shared" si="38"/>
        <v>160</v>
      </c>
      <c r="AW28" s="86">
        <f t="shared" si="39"/>
        <v>90</v>
      </c>
      <c r="AX28" s="86">
        <f t="shared" si="40"/>
        <v>190</v>
      </c>
      <c r="AY28" s="86">
        <f t="shared" si="41"/>
        <v>440</v>
      </c>
      <c r="AZ28" s="90">
        <f>IFERROR(IPF_Formula(E28,I28,AY28),0)</f>
        <v>0</v>
      </c>
      <c r="BA28" s="90">
        <f ca="1">ROUND(IFERROR(VLOOKUP(AS28,DATA!$A$2:$B$63,2,FALSE),1)*AZ28,5)</f>
        <v>0</v>
      </c>
      <c r="BB28" s="86">
        <f t="shared" si="42"/>
        <v>440</v>
      </c>
      <c r="BC28" s="116"/>
      <c r="BD28" s="116"/>
      <c r="BE28" s="116"/>
      <c r="BF28" s="86"/>
      <c r="BG28" s="91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 t="str">
        <f t="shared" si="43"/>
        <v/>
      </c>
      <c r="CA28" s="86"/>
      <c r="CB28" s="86" t="str">
        <f t="shared" si="44"/>
        <v>M-JR-U74</v>
      </c>
      <c r="CC28" s="86">
        <f t="shared" si="45"/>
        <v>36</v>
      </c>
      <c r="CD28" s="86">
        <f t="shared" ca="1" si="46"/>
        <v>8</v>
      </c>
      <c r="CE28" s="86">
        <f t="shared" ca="1" si="47"/>
        <v>8</v>
      </c>
      <c r="CF28" s="261"/>
      <c r="CG28" s="336">
        <f>IF(OR($E28="",$E28=0),0, ROUND(100/(VLOOKUP($I28,'IPF Formula'!$A$3:$F$10,4,FALSE)-VLOOKUP($I28,'IPF Formula'!$A$3:$F$10,5,FALSE)*EXP(-VLOOKUP($I28,'IPF Formula'!$A$3:$F$10,6,FALSE)*$E28)),6))</f>
        <v>0.14785100000000001</v>
      </c>
    </row>
    <row r="29" spans="1:85" s="263" customFormat="1" ht="15.75" x14ac:dyDescent="0.2">
      <c r="A29" s="84" t="s">
        <v>70</v>
      </c>
      <c r="B29" s="85" t="s">
        <v>1251</v>
      </c>
      <c r="C29" s="84" t="s">
        <v>1261</v>
      </c>
      <c r="D29" s="88" t="s">
        <v>1201</v>
      </c>
      <c r="E29" s="88">
        <v>74</v>
      </c>
      <c r="F29" s="201" t="str">
        <f>一般判定(IFERROR(VLOOKUP(E29,DATA!$E$2:$G$22,IF(LEFT(D29,1)="M",2,3)),""),D29)</f>
        <v>74</v>
      </c>
      <c r="G29" s="88">
        <v>44</v>
      </c>
      <c r="H29" s="216">
        <v>4</v>
      </c>
      <c r="I29" s="220" t="str">
        <f t="shared" si="24"/>
        <v>MCP</v>
      </c>
      <c r="J29" s="202" t="s">
        <v>811</v>
      </c>
      <c r="K29" s="361">
        <v>160</v>
      </c>
      <c r="L29" s="270">
        <v>170</v>
      </c>
      <c r="M29" s="270">
        <v>180</v>
      </c>
      <c r="N29" s="201">
        <f t="shared" ca="1" si="25"/>
        <v>180</v>
      </c>
      <c r="O29" s="202" t="s">
        <v>1268</v>
      </c>
      <c r="P29" s="361">
        <v>90</v>
      </c>
      <c r="Q29" s="270">
        <v>95</v>
      </c>
      <c r="R29" s="203">
        <v>0</v>
      </c>
      <c r="S29" s="201">
        <f t="shared" ca="1" si="26"/>
        <v>95</v>
      </c>
      <c r="T29" s="201">
        <f t="shared" ca="1" si="27"/>
        <v>275</v>
      </c>
      <c r="U29" s="361">
        <v>190</v>
      </c>
      <c r="V29" s="270">
        <v>200</v>
      </c>
      <c r="W29" s="271">
        <v>-210</v>
      </c>
      <c r="X29" s="201">
        <f t="shared" ca="1" si="28"/>
        <v>200</v>
      </c>
      <c r="Y29" s="201">
        <f t="shared" ca="1" si="29"/>
        <v>475</v>
      </c>
      <c r="Z29" s="87" t="str">
        <f t="shared" ca="1" si="30"/>
        <v>5/M-JR-U/74/PL</v>
      </c>
      <c r="AA29" s="224">
        <f t="shared" si="31"/>
        <v>475</v>
      </c>
      <c r="AB29" s="201">
        <f t="shared" ca="1" si="32"/>
        <v>5</v>
      </c>
      <c r="AC29" s="335">
        <f t="shared" ca="1" si="33"/>
        <v>69.734749999999991</v>
      </c>
      <c r="AD29" s="224">
        <f ca="1">IFERROR(VLOOKUP(AS29,DATA!$A$2:$B$63,2,TRUE),0)*AC29</f>
        <v>177.75387774999999</v>
      </c>
      <c r="AE29" s="88" t="s">
        <v>69</v>
      </c>
      <c r="AF29" s="88"/>
      <c r="AG29" s="86"/>
      <c r="AH29" s="86">
        <f>IFERROR(VLOOKUP(A29,Setup!$Q$5:$R$20,2,FALSE),"")</f>
        <v>1</v>
      </c>
      <c r="AI29" s="89">
        <f t="shared" ca="1" si="34"/>
        <v>160.000044</v>
      </c>
      <c r="AJ29" s="86">
        <v>50</v>
      </c>
      <c r="AK29" s="86">
        <v>33</v>
      </c>
      <c r="AL29" s="86">
        <v>38</v>
      </c>
      <c r="AM29" s="86">
        <f t="shared" si="35"/>
        <v>1</v>
      </c>
      <c r="AN29" s="86">
        <f>VLOOKUP(D29,Setup!$I$6:$K$92,3,FALSE)</f>
        <v>1</v>
      </c>
      <c r="AO29" s="86">
        <f t="shared" ca="1" si="36"/>
        <v>475</v>
      </c>
      <c r="AP29" s="115"/>
      <c r="AQ29" s="116">
        <f>IFERROR(MATCH(D29,Setup!$I$6:$I$92,0),"")</f>
        <v>9</v>
      </c>
      <c r="AR29" s="116" t="str">
        <f ca="1">IFERROR(CONCATENATE(LEFT(D29,FIND("-",D29)),IF(AS29="","O",VLOOKUP(AS29,DATA!$E$35:$F$53,2,TRUE))),"")</f>
        <v>M-M6</v>
      </c>
      <c r="AS29" s="136">
        <f t="shared" ca="1" si="37"/>
        <v>2018</v>
      </c>
      <c r="AT29" s="116" t="e">
        <f>IF(AN29=1,MATCH(F29,DATA!$AB$2:$AB$34,0),0)</f>
        <v>#N/A</v>
      </c>
      <c r="AU29" s="86"/>
      <c r="AV29" s="86">
        <f t="shared" si="38"/>
        <v>180</v>
      </c>
      <c r="AW29" s="86">
        <f t="shared" si="39"/>
        <v>95</v>
      </c>
      <c r="AX29" s="86">
        <f t="shared" si="40"/>
        <v>200</v>
      </c>
      <c r="AY29" s="86">
        <f t="shared" si="41"/>
        <v>475</v>
      </c>
      <c r="AZ29" s="90">
        <f>IFERROR(IPF_Formula(E29,I29,AY29),0)</f>
        <v>0</v>
      </c>
      <c r="BA29" s="90">
        <f ca="1">ROUND(IFERROR(VLOOKUP(AS29,DATA!$A$2:$B$63,2,FALSE),1)*AZ29,5)</f>
        <v>0</v>
      </c>
      <c r="BB29" s="86">
        <f t="shared" si="42"/>
        <v>475</v>
      </c>
      <c r="BC29" s="116"/>
      <c r="BD29" s="116"/>
      <c r="BE29" s="116"/>
      <c r="BF29" s="86"/>
      <c r="BG29" s="91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 t="str">
        <f t="shared" si="43"/>
        <v/>
      </c>
      <c r="CA29" s="86"/>
      <c r="CB29" s="86" t="str">
        <f t="shared" si="44"/>
        <v>M-JR-U74</v>
      </c>
      <c r="CC29" s="86">
        <f t="shared" si="45"/>
        <v>38</v>
      </c>
      <c r="CD29" s="86">
        <f t="shared" ca="1" si="46"/>
        <v>5</v>
      </c>
      <c r="CE29" s="86">
        <f t="shared" ca="1" si="47"/>
        <v>5</v>
      </c>
      <c r="CF29" s="261"/>
      <c r="CG29" s="336">
        <f>IF(OR($E29="",$E29=0),0, ROUND(100/(VLOOKUP($I29,'IPF Formula'!$A$3:$F$10,4,FALSE)-VLOOKUP($I29,'IPF Formula'!$A$3:$F$10,5,FALSE)*EXP(-VLOOKUP($I29,'IPF Formula'!$A$3:$F$10,6,FALSE)*$E29)),6))</f>
        <v>0.14681</v>
      </c>
    </row>
    <row r="30" spans="1:85" s="263" customFormat="1" ht="15.75" x14ac:dyDescent="0.2">
      <c r="A30" s="84" t="s">
        <v>70</v>
      </c>
      <c r="B30" s="85" t="s">
        <v>1256</v>
      </c>
      <c r="C30" s="84" t="s">
        <v>1267</v>
      </c>
      <c r="D30" s="88" t="s">
        <v>1201</v>
      </c>
      <c r="E30" s="88">
        <v>73.8</v>
      </c>
      <c r="F30" s="201" t="str">
        <f>一般判定(IFERROR(VLOOKUP(E30,DATA!$E$2:$G$22,IF(LEFT(D30,1)="M",2,3)),""),D30)</f>
        <v>74</v>
      </c>
      <c r="G30" s="88">
        <v>49</v>
      </c>
      <c r="H30" s="216">
        <v>3</v>
      </c>
      <c r="I30" s="220" t="str">
        <f t="shared" si="24"/>
        <v>MCP</v>
      </c>
      <c r="J30" s="202" t="s">
        <v>1276</v>
      </c>
      <c r="K30" s="361">
        <v>155</v>
      </c>
      <c r="L30" s="270">
        <v>167.5</v>
      </c>
      <c r="M30" s="271">
        <v>-172.5</v>
      </c>
      <c r="N30" s="201">
        <f t="shared" ca="1" si="25"/>
        <v>167.5</v>
      </c>
      <c r="O30" s="202" t="s">
        <v>1277</v>
      </c>
      <c r="P30" s="361">
        <v>115</v>
      </c>
      <c r="Q30" s="270">
        <v>122.5</v>
      </c>
      <c r="R30" s="271">
        <v>-127.5</v>
      </c>
      <c r="S30" s="201">
        <f t="shared" ca="1" si="26"/>
        <v>122.5</v>
      </c>
      <c r="T30" s="201">
        <f t="shared" ca="1" si="27"/>
        <v>290</v>
      </c>
      <c r="U30" s="361">
        <v>175</v>
      </c>
      <c r="V30" s="270">
        <v>195</v>
      </c>
      <c r="W30" s="271">
        <v>-212.5</v>
      </c>
      <c r="X30" s="201">
        <f t="shared" ca="1" si="28"/>
        <v>195</v>
      </c>
      <c r="Y30" s="201">
        <f t="shared" ca="1" si="29"/>
        <v>485</v>
      </c>
      <c r="Z30" s="87" t="str">
        <f t="shared" ca="1" si="30"/>
        <v>4/M-JR-U/74/PL</v>
      </c>
      <c r="AA30" s="224">
        <f t="shared" si="31"/>
        <v>485</v>
      </c>
      <c r="AB30" s="201">
        <f t="shared" ca="1" si="32"/>
        <v>4</v>
      </c>
      <c r="AC30" s="335">
        <f t="shared" ca="1" si="33"/>
        <v>71.302760000000006</v>
      </c>
      <c r="AD30" s="224">
        <f ca="1">IFERROR(VLOOKUP(AS30,DATA!$A$2:$B$63,2,TRUE),0)*AC30</f>
        <v>181.75073524000001</v>
      </c>
      <c r="AE30" s="88" t="s">
        <v>69</v>
      </c>
      <c r="AF30" s="88"/>
      <c r="AG30" s="86"/>
      <c r="AH30" s="86">
        <f>IFERROR(VLOOKUP(A30,Setup!$Q$5:$R$20,2,FALSE),"")</f>
        <v>1</v>
      </c>
      <c r="AI30" s="89">
        <f t="shared" ca="1" si="34"/>
        <v>155.00004899999999</v>
      </c>
      <c r="AJ30" s="86">
        <v>43</v>
      </c>
      <c r="AK30" s="86">
        <v>38</v>
      </c>
      <c r="AL30" s="86">
        <v>37</v>
      </c>
      <c r="AM30" s="86">
        <f t="shared" si="35"/>
        <v>1</v>
      </c>
      <c r="AN30" s="86">
        <f>VLOOKUP(D30,Setup!$I$6:$K$92,3,FALSE)</f>
        <v>1</v>
      </c>
      <c r="AO30" s="86">
        <f t="shared" ca="1" si="36"/>
        <v>485</v>
      </c>
      <c r="AP30" s="115"/>
      <c r="AQ30" s="116">
        <f>IFERROR(MATCH(D30,Setup!$I$6:$I$92,0),"")</f>
        <v>9</v>
      </c>
      <c r="AR30" s="116" t="str">
        <f ca="1">IFERROR(CONCATENATE(LEFT(D30,FIND("-",D30)),IF(AS30="","O",VLOOKUP(AS30,DATA!$E$35:$F$53,2,TRUE))),"")</f>
        <v>M-M6</v>
      </c>
      <c r="AS30" s="136">
        <f t="shared" ca="1" si="37"/>
        <v>2019</v>
      </c>
      <c r="AT30" s="116" t="e">
        <f>IF(AN30=1,MATCH(F30,DATA!$AB$2:$AB$34,0),0)</f>
        <v>#N/A</v>
      </c>
      <c r="AU30" s="86"/>
      <c r="AV30" s="86">
        <f t="shared" si="38"/>
        <v>167.5</v>
      </c>
      <c r="AW30" s="86">
        <f t="shared" si="39"/>
        <v>122.5</v>
      </c>
      <c r="AX30" s="86">
        <f t="shared" si="40"/>
        <v>195</v>
      </c>
      <c r="AY30" s="86">
        <f t="shared" si="41"/>
        <v>485</v>
      </c>
      <c r="AZ30" s="90">
        <f>IFERROR(IPF_Formula(E30,I30,AY30),0)</f>
        <v>0</v>
      </c>
      <c r="BA30" s="90">
        <f ca="1">ROUND(IFERROR(VLOOKUP(AS30,DATA!$A$2:$B$63,2,FALSE),1)*AZ30,5)</f>
        <v>0</v>
      </c>
      <c r="BB30" s="86">
        <f t="shared" si="42"/>
        <v>485</v>
      </c>
      <c r="BC30" s="116"/>
      <c r="BD30" s="116"/>
      <c r="BE30" s="116"/>
      <c r="BF30" s="86"/>
      <c r="BG30" s="91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 t="str">
        <f t="shared" si="43"/>
        <v/>
      </c>
      <c r="CA30" s="86"/>
      <c r="CB30" s="86" t="str">
        <f t="shared" si="44"/>
        <v>M-JR-U74</v>
      </c>
      <c r="CC30" s="86">
        <f t="shared" si="45"/>
        <v>37</v>
      </c>
      <c r="CD30" s="86">
        <f t="shared" ca="1" si="46"/>
        <v>4</v>
      </c>
      <c r="CE30" s="86">
        <f t="shared" ca="1" si="47"/>
        <v>4</v>
      </c>
      <c r="CF30" s="261"/>
      <c r="CG30" s="336">
        <f>IF(OR($E30="",$E30=0),0, ROUND(100/(VLOOKUP($I30,'IPF Formula'!$A$3:$F$10,4,FALSE)-VLOOKUP($I30,'IPF Formula'!$A$3:$F$10,5,FALSE)*EXP(-VLOOKUP($I30,'IPF Formula'!$A$3:$F$10,6,FALSE)*$E30)),6))</f>
        <v>0.14701600000000001</v>
      </c>
    </row>
    <row r="31" spans="1:85" s="263" customFormat="1" ht="15.75" x14ac:dyDescent="0.2">
      <c r="A31" s="84" t="s">
        <v>70</v>
      </c>
      <c r="B31" s="85" t="s">
        <v>1255</v>
      </c>
      <c r="C31" s="84" t="s">
        <v>1266</v>
      </c>
      <c r="D31" s="88" t="s">
        <v>1201</v>
      </c>
      <c r="E31" s="88">
        <v>73.599999999999994</v>
      </c>
      <c r="F31" s="201" t="str">
        <f>一般判定(IFERROR(VLOOKUP(E31,DATA!$E$2:$G$22,IF(LEFT(D31,1)="M",2,3)),""),D31)</f>
        <v>74</v>
      </c>
      <c r="G31" s="88">
        <v>48</v>
      </c>
      <c r="H31" s="216">
        <v>4</v>
      </c>
      <c r="I31" s="220" t="str">
        <f t="shared" si="24"/>
        <v>MCP</v>
      </c>
      <c r="J31" s="202" t="s">
        <v>810</v>
      </c>
      <c r="K31" s="363">
        <v>-162.5</v>
      </c>
      <c r="L31" s="271">
        <v>-162.5</v>
      </c>
      <c r="M31" s="270">
        <v>162.5</v>
      </c>
      <c r="N31" s="201">
        <f t="shared" ca="1" si="25"/>
        <v>162.5</v>
      </c>
      <c r="O31" s="202" t="s">
        <v>1268</v>
      </c>
      <c r="P31" s="361">
        <v>122.5</v>
      </c>
      <c r="Q31" s="270">
        <v>130</v>
      </c>
      <c r="R31" s="270">
        <v>135</v>
      </c>
      <c r="S31" s="201">
        <f t="shared" ca="1" si="26"/>
        <v>135</v>
      </c>
      <c r="T31" s="201">
        <f t="shared" ca="1" si="27"/>
        <v>297.5</v>
      </c>
      <c r="U31" s="361">
        <v>205</v>
      </c>
      <c r="V31" s="270">
        <v>215</v>
      </c>
      <c r="W31" s="270">
        <v>225</v>
      </c>
      <c r="X31" s="201">
        <f t="shared" ca="1" si="28"/>
        <v>225</v>
      </c>
      <c r="Y31" s="201">
        <f t="shared" ca="1" si="29"/>
        <v>522.5</v>
      </c>
      <c r="Z31" s="87" t="str">
        <f t="shared" ca="1" si="30"/>
        <v>2/M-JR-U/74/PL</v>
      </c>
      <c r="AA31" s="224">
        <f t="shared" si="31"/>
        <v>522.5</v>
      </c>
      <c r="AB31" s="201">
        <f t="shared" ca="1" si="32"/>
        <v>2</v>
      </c>
      <c r="AC31" s="335">
        <f t="shared" ca="1" si="33"/>
        <v>76.924539999999993</v>
      </c>
      <c r="AD31" s="224">
        <f ca="1">IFERROR(VLOOKUP(AS31,DATA!$A$2:$B$63,2,TRUE),0)*AC31</f>
        <v>196.08065245999998</v>
      </c>
      <c r="AE31" s="88" t="s">
        <v>69</v>
      </c>
      <c r="AF31" s="88"/>
      <c r="AG31" s="86"/>
      <c r="AH31" s="86">
        <f>IFERROR(VLOOKUP(A31,Setup!$Q$5:$R$20,2,FALSE),"")</f>
        <v>1</v>
      </c>
      <c r="AI31" s="89">
        <f t="shared" ca="1" si="34"/>
        <v>162.50004799999999</v>
      </c>
      <c r="AJ31" s="86">
        <v>49</v>
      </c>
      <c r="AK31" s="86">
        <v>42</v>
      </c>
      <c r="AL31" s="86">
        <v>44</v>
      </c>
      <c r="AM31" s="86">
        <f t="shared" si="35"/>
        <v>1</v>
      </c>
      <c r="AN31" s="86">
        <f>VLOOKUP(D31,Setup!$I$6:$K$92,3,FALSE)</f>
        <v>1</v>
      </c>
      <c r="AO31" s="86">
        <f t="shared" ca="1" si="36"/>
        <v>522.5</v>
      </c>
      <c r="AP31" s="115"/>
      <c r="AQ31" s="116">
        <f>IFERROR(MATCH(D31,Setup!$I$6:$I$92,0),"")</f>
        <v>9</v>
      </c>
      <c r="AR31" s="116" t="str">
        <f ca="1">IFERROR(CONCATENATE(LEFT(D31,FIND("-",D31)),IF(AS31="","O",VLOOKUP(AS31,DATA!$E$35:$F$53,2,TRUE))),"")</f>
        <v>M-M6</v>
      </c>
      <c r="AS31" s="136">
        <f t="shared" ca="1" si="37"/>
        <v>2018</v>
      </c>
      <c r="AT31" s="116" t="e">
        <f>IF(AN31=1,MATCH(F31,DATA!$AB$2:$AB$34,0),0)</f>
        <v>#N/A</v>
      </c>
      <c r="AU31" s="86"/>
      <c r="AV31" s="86">
        <f t="shared" si="38"/>
        <v>162.5</v>
      </c>
      <c r="AW31" s="86">
        <f t="shared" si="39"/>
        <v>135</v>
      </c>
      <c r="AX31" s="86">
        <f t="shared" si="40"/>
        <v>225</v>
      </c>
      <c r="AY31" s="86">
        <f t="shared" si="41"/>
        <v>522.5</v>
      </c>
      <c r="AZ31" s="90">
        <f>IFERROR(IPF_Formula(E31,I31,AY31),0)</f>
        <v>0</v>
      </c>
      <c r="BA31" s="90">
        <f ca="1">ROUND(IFERROR(VLOOKUP(AS31,DATA!$A$2:$B$63,2,FALSE),1)*AZ31,5)</f>
        <v>0</v>
      </c>
      <c r="BB31" s="86">
        <f t="shared" si="42"/>
        <v>522.5</v>
      </c>
      <c r="BC31" s="116"/>
      <c r="BD31" s="116"/>
      <c r="BE31" s="116"/>
      <c r="BF31" s="86"/>
      <c r="BG31" s="91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 t="str">
        <f t="shared" si="43"/>
        <v/>
      </c>
      <c r="CA31" s="86"/>
      <c r="CB31" s="86" t="str">
        <f t="shared" si="44"/>
        <v>M-JR-U74</v>
      </c>
      <c r="CC31" s="86">
        <f t="shared" si="45"/>
        <v>44</v>
      </c>
      <c r="CD31" s="86">
        <f t="shared" ca="1" si="46"/>
        <v>2</v>
      </c>
      <c r="CE31" s="86">
        <f t="shared" ca="1" si="47"/>
        <v>2</v>
      </c>
      <c r="CF31" s="261"/>
      <c r="CG31" s="336">
        <f>IF(OR($E31="",$E31=0),0, ROUND(100/(VLOOKUP($I31,'IPF Formula'!$A$3:$F$10,4,FALSE)-VLOOKUP($I31,'IPF Formula'!$A$3:$F$10,5,FALSE)*EXP(-VLOOKUP($I31,'IPF Formula'!$A$3:$F$10,6,FALSE)*$E31)),6))</f>
        <v>0.14722399999999999</v>
      </c>
    </row>
    <row r="32" spans="1:85" s="263" customFormat="1" ht="15.75" x14ac:dyDescent="0.2">
      <c r="A32" s="84" t="s">
        <v>70</v>
      </c>
      <c r="B32" s="85" t="s">
        <v>1257</v>
      </c>
      <c r="C32" s="84" t="s">
        <v>1259</v>
      </c>
      <c r="D32" s="88" t="s">
        <v>1201</v>
      </c>
      <c r="E32" s="88">
        <v>73.900000000000006</v>
      </c>
      <c r="F32" s="201" t="str">
        <f>一般判定(IFERROR(VLOOKUP(E32,DATA!$E$2:$G$22,IF(LEFT(D32,1)="M",2,3)),""),D32)</f>
        <v>74</v>
      </c>
      <c r="G32" s="88">
        <v>50</v>
      </c>
      <c r="H32" s="216">
        <v>1</v>
      </c>
      <c r="I32" s="220" t="str">
        <f t="shared" si="24"/>
        <v>MCP</v>
      </c>
      <c r="J32" s="202" t="s">
        <v>1276</v>
      </c>
      <c r="K32" s="361">
        <v>190</v>
      </c>
      <c r="L32" s="270">
        <v>205</v>
      </c>
      <c r="M32" s="270">
        <v>215</v>
      </c>
      <c r="N32" s="201">
        <f t="shared" ca="1" si="25"/>
        <v>215</v>
      </c>
      <c r="O32" s="202" t="s">
        <v>1268</v>
      </c>
      <c r="P32" s="361">
        <v>112.5</v>
      </c>
      <c r="Q32" s="270">
        <v>117.5</v>
      </c>
      <c r="R32" s="270">
        <v>122.5</v>
      </c>
      <c r="S32" s="201">
        <f t="shared" ca="1" si="26"/>
        <v>122.5</v>
      </c>
      <c r="T32" s="201">
        <f t="shared" ca="1" si="27"/>
        <v>337.5</v>
      </c>
      <c r="U32" s="361">
        <v>235</v>
      </c>
      <c r="V32" s="270">
        <v>255</v>
      </c>
      <c r="W32" s="270">
        <v>270</v>
      </c>
      <c r="X32" s="201">
        <f t="shared" ca="1" si="28"/>
        <v>270</v>
      </c>
      <c r="Y32" s="201">
        <f t="shared" ca="1" si="29"/>
        <v>607.5</v>
      </c>
      <c r="Z32" s="87" t="str">
        <f t="shared" ca="1" si="30"/>
        <v>1/M-JR-U/74/PL</v>
      </c>
      <c r="AA32" s="224">
        <f t="shared" si="31"/>
        <v>607.5</v>
      </c>
      <c r="AB32" s="201">
        <f t="shared" ca="1" si="32"/>
        <v>1</v>
      </c>
      <c r="AC32" s="335">
        <f t="shared" ca="1" si="33"/>
        <v>89.249647499999995</v>
      </c>
      <c r="AD32" s="224">
        <f ca="1">IFERROR(VLOOKUP(AS32,DATA!$A$2:$B$63,2,TRUE),0)*AC32</f>
        <v>227.49735147749999</v>
      </c>
      <c r="AE32" s="88" t="s">
        <v>69</v>
      </c>
      <c r="AF32" s="88"/>
      <c r="AG32" s="86"/>
      <c r="AH32" s="86">
        <f>IFERROR(VLOOKUP(A32,Setup!$Q$5:$R$20,2,FALSE),"")</f>
        <v>1</v>
      </c>
      <c r="AI32" s="89">
        <f t="shared" ca="1" si="34"/>
        <v>190.00004999999999</v>
      </c>
      <c r="AJ32" s="86">
        <v>52</v>
      </c>
      <c r="AK32" s="86">
        <v>41</v>
      </c>
      <c r="AL32" s="86">
        <v>46</v>
      </c>
      <c r="AM32" s="86">
        <f t="shared" si="35"/>
        <v>1</v>
      </c>
      <c r="AN32" s="86">
        <f>VLOOKUP(D32,Setup!$I$6:$K$92,3,FALSE)</f>
        <v>1</v>
      </c>
      <c r="AO32" s="86">
        <f t="shared" ca="1" si="36"/>
        <v>607.5</v>
      </c>
      <c r="AP32" s="115"/>
      <c r="AQ32" s="116">
        <f>IFERROR(MATCH(D32,Setup!$I$6:$I$92,0),"")</f>
        <v>9</v>
      </c>
      <c r="AR32" s="116" t="str">
        <f ca="1">IFERROR(CONCATENATE(LEFT(D32,FIND("-",D32)),IF(AS32="","O",VLOOKUP(AS32,DATA!$E$35:$F$53,2,TRUE))),"")</f>
        <v>M-M6</v>
      </c>
      <c r="AS32" s="136">
        <f t="shared" ca="1" si="37"/>
        <v>2021</v>
      </c>
      <c r="AT32" s="116" t="e">
        <f>IF(AN32=1,MATCH(F32,DATA!$AB$2:$AB$34,0),0)</f>
        <v>#N/A</v>
      </c>
      <c r="AU32" s="86"/>
      <c r="AV32" s="86">
        <f t="shared" si="38"/>
        <v>215</v>
      </c>
      <c r="AW32" s="86">
        <f t="shared" si="39"/>
        <v>122.5</v>
      </c>
      <c r="AX32" s="86">
        <f t="shared" si="40"/>
        <v>270</v>
      </c>
      <c r="AY32" s="86">
        <f t="shared" si="41"/>
        <v>607.5</v>
      </c>
      <c r="AZ32" s="90">
        <f>IFERROR(IPF_Formula(E32,I32,AY32),0)</f>
        <v>0</v>
      </c>
      <c r="BA32" s="90">
        <f ca="1">ROUND(IFERROR(VLOOKUP(AS32,DATA!$A$2:$B$63,2,FALSE),1)*AZ32,5)</f>
        <v>0</v>
      </c>
      <c r="BB32" s="86">
        <f t="shared" si="42"/>
        <v>607.5</v>
      </c>
      <c r="BC32" s="116"/>
      <c r="BD32" s="116"/>
      <c r="BE32" s="116"/>
      <c r="BF32" s="86"/>
      <c r="BG32" s="91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 t="str">
        <f t="shared" si="43"/>
        <v/>
      </c>
      <c r="CA32" s="86"/>
      <c r="CB32" s="86" t="str">
        <f t="shared" si="44"/>
        <v>M-JR-U74</v>
      </c>
      <c r="CC32" s="86">
        <f t="shared" si="45"/>
        <v>46</v>
      </c>
      <c r="CD32" s="86">
        <f t="shared" ca="1" si="46"/>
        <v>1</v>
      </c>
      <c r="CE32" s="86">
        <f t="shared" ca="1" si="47"/>
        <v>1</v>
      </c>
      <c r="CF32" s="261"/>
      <c r="CG32" s="336">
        <f>IF(OR($E32="",$E32=0),0, ROUND(100/(VLOOKUP($I32,'IPF Formula'!$A$3:$F$10,4,FALSE)-VLOOKUP($I32,'IPF Formula'!$A$3:$F$10,5,FALSE)*EXP(-VLOOKUP($I32,'IPF Formula'!$A$3:$F$10,6,FALSE)*$E32)),6))</f>
        <v>0.14691299999999999</v>
      </c>
    </row>
    <row r="33" spans="1:85" s="263" customFormat="1" ht="15" x14ac:dyDescent="0.2">
      <c r="A33" s="84"/>
      <c r="B33" s="85"/>
      <c r="C33" s="84"/>
      <c r="D33" s="88"/>
      <c r="E33" s="88"/>
      <c r="F33" s="201"/>
      <c r="G33" s="88"/>
      <c r="H33" s="216"/>
      <c r="I33" s="220"/>
      <c r="J33" s="202"/>
      <c r="K33" s="88"/>
      <c r="L33" s="203"/>
      <c r="M33" s="203"/>
      <c r="N33" s="201"/>
      <c r="O33" s="202"/>
      <c r="P33" s="88"/>
      <c r="Q33" s="203"/>
      <c r="R33" s="203"/>
      <c r="S33" s="201"/>
      <c r="T33" s="201"/>
      <c r="U33" s="88"/>
      <c r="V33" s="203"/>
      <c r="W33" s="203"/>
      <c r="X33" s="201"/>
      <c r="Y33" s="201"/>
      <c r="Z33" s="87"/>
      <c r="AA33" s="224"/>
      <c r="AB33" s="201"/>
      <c r="AC33" s="335"/>
      <c r="AD33" s="224"/>
      <c r="AE33" s="88"/>
      <c r="AF33" s="88"/>
      <c r="AG33" s="86"/>
      <c r="AH33" s="86"/>
      <c r="AI33" s="89"/>
      <c r="AJ33" s="86"/>
      <c r="AK33" s="86"/>
      <c r="AL33" s="86"/>
      <c r="AM33" s="86"/>
      <c r="AN33" s="86"/>
      <c r="AO33" s="86"/>
      <c r="AP33" s="115"/>
      <c r="AQ33" s="116"/>
      <c r="AR33" s="116"/>
      <c r="AS33" s="136"/>
      <c r="AT33" s="116"/>
      <c r="AU33" s="86"/>
      <c r="AV33" s="86"/>
      <c r="AW33" s="86"/>
      <c r="AX33" s="86"/>
      <c r="AY33" s="86"/>
      <c r="AZ33" s="90"/>
      <c r="BA33" s="90"/>
      <c r="BB33" s="86"/>
      <c r="BC33" s="116"/>
      <c r="BD33" s="116"/>
      <c r="BE33" s="116"/>
      <c r="BF33" s="86"/>
      <c r="BG33" s="91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261"/>
      <c r="CG33" s="336">
        <f>IF(OR($E33="",$E33=0),0, ROUND(100/(VLOOKUP($I33,'IPF Formula'!$A$3:$F$10,4,FALSE)-VLOOKUP($I33,'IPF Formula'!$A$3:$F$10,5,FALSE)*EXP(-VLOOKUP($I33,'IPF Formula'!$A$3:$F$10,6,FALSE)*$E33)),6))</f>
        <v>0</v>
      </c>
    </row>
    <row r="34" spans="1:85" s="263" customFormat="1" ht="15" x14ac:dyDescent="0.2">
      <c r="A34" s="84"/>
      <c r="B34" s="85"/>
      <c r="C34" s="84"/>
      <c r="D34" s="88"/>
      <c r="E34" s="88"/>
      <c r="F34" s="201"/>
      <c r="G34" s="88"/>
      <c r="H34" s="216"/>
      <c r="I34" s="220"/>
      <c r="J34" s="202"/>
      <c r="K34" s="88"/>
      <c r="L34" s="203"/>
      <c r="M34" s="203"/>
      <c r="N34" s="201"/>
      <c r="O34" s="202"/>
      <c r="P34" s="88"/>
      <c r="Q34" s="203"/>
      <c r="R34" s="203"/>
      <c r="S34" s="201"/>
      <c r="T34" s="201"/>
      <c r="U34" s="88"/>
      <c r="V34" s="203"/>
      <c r="W34" s="203"/>
      <c r="X34" s="201"/>
      <c r="Y34" s="201"/>
      <c r="Z34" s="87"/>
      <c r="AA34" s="224"/>
      <c r="AB34" s="201"/>
      <c r="AC34" s="335"/>
      <c r="AD34" s="224"/>
      <c r="AE34" s="88"/>
      <c r="AF34" s="88"/>
      <c r="AG34" s="86"/>
      <c r="AH34" s="86"/>
      <c r="AI34" s="89"/>
      <c r="AJ34" s="86"/>
      <c r="AK34" s="86"/>
      <c r="AL34" s="86"/>
      <c r="AM34" s="86"/>
      <c r="AN34" s="86"/>
      <c r="AO34" s="86"/>
      <c r="AP34" s="115"/>
      <c r="AQ34" s="116"/>
      <c r="AR34" s="116"/>
      <c r="AS34" s="136"/>
      <c r="AT34" s="116"/>
      <c r="AU34" s="86"/>
      <c r="AV34" s="86"/>
      <c r="AW34" s="86"/>
      <c r="AX34" s="86"/>
      <c r="AY34" s="86"/>
      <c r="AZ34" s="90"/>
      <c r="BA34" s="90"/>
      <c r="BB34" s="86"/>
      <c r="BC34" s="116"/>
      <c r="BD34" s="116"/>
      <c r="BE34" s="116"/>
      <c r="BF34" s="86"/>
      <c r="BG34" s="91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261"/>
      <c r="CG34" s="336">
        <f>IF(OR($E34="",$E34=0),0, ROUND(100/(VLOOKUP($I34,'IPF Formula'!$A$3:$F$10,4,FALSE)-VLOOKUP($I34,'IPF Formula'!$A$3:$F$10,5,FALSE)*EXP(-VLOOKUP($I34,'IPF Formula'!$A$3:$F$10,6,FALSE)*$E34)),6))</f>
        <v>0</v>
      </c>
    </row>
    <row r="35" spans="1:85" s="263" customFormat="1" ht="15" x14ac:dyDescent="0.2">
      <c r="A35" s="84"/>
      <c r="B35" s="85"/>
      <c r="C35" s="84"/>
      <c r="D35" s="88"/>
      <c r="E35" s="88"/>
      <c r="F35" s="201"/>
      <c r="G35" s="88"/>
      <c r="H35" s="216"/>
      <c r="I35" s="220"/>
      <c r="J35" s="202"/>
      <c r="K35" s="88"/>
      <c r="L35" s="203"/>
      <c r="M35" s="203"/>
      <c r="N35" s="201"/>
      <c r="O35" s="202"/>
      <c r="P35" s="88"/>
      <c r="Q35" s="203"/>
      <c r="R35" s="203"/>
      <c r="S35" s="201"/>
      <c r="T35" s="201"/>
      <c r="U35" s="88"/>
      <c r="V35" s="203"/>
      <c r="W35" s="203"/>
      <c r="X35" s="201"/>
      <c r="Y35" s="201"/>
      <c r="Z35" s="87"/>
      <c r="AA35" s="224"/>
      <c r="AB35" s="201"/>
      <c r="AC35" s="335"/>
      <c r="AD35" s="224"/>
      <c r="AE35" s="88"/>
      <c r="AF35" s="88"/>
      <c r="AG35" s="86"/>
      <c r="AH35" s="86"/>
      <c r="AI35" s="89"/>
      <c r="AJ35" s="86"/>
      <c r="AK35" s="86"/>
      <c r="AL35" s="86"/>
      <c r="AM35" s="86"/>
      <c r="AN35" s="86"/>
      <c r="AO35" s="86"/>
      <c r="AP35" s="115"/>
      <c r="AQ35" s="116"/>
      <c r="AR35" s="116"/>
      <c r="AS35" s="136"/>
      <c r="AT35" s="116"/>
      <c r="AU35" s="86"/>
      <c r="AV35" s="86"/>
      <c r="AW35" s="86"/>
      <c r="AX35" s="86"/>
      <c r="AY35" s="86"/>
      <c r="AZ35" s="90"/>
      <c r="BA35" s="90"/>
      <c r="BB35" s="86"/>
      <c r="BC35" s="116"/>
      <c r="BD35" s="116"/>
      <c r="BE35" s="116"/>
      <c r="BF35" s="86"/>
      <c r="BG35" s="91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261"/>
      <c r="CG35" s="336">
        <f>IF(OR($E35="",$E35=0),0, ROUND(100/(VLOOKUP($I35,'IPF Formula'!$A$3:$F$10,4,FALSE)-VLOOKUP($I35,'IPF Formula'!$A$3:$F$10,5,FALSE)*EXP(-VLOOKUP($I35,'IPF Formula'!$A$3:$F$10,6,FALSE)*$E35)),6))</f>
        <v>0</v>
      </c>
    </row>
    <row r="36" spans="1:85" s="263" customFormat="1" ht="15" x14ac:dyDescent="0.2">
      <c r="A36" s="84"/>
      <c r="B36" s="85"/>
      <c r="C36" s="84"/>
      <c r="D36" s="88"/>
      <c r="E36" s="88"/>
      <c r="F36" s="201"/>
      <c r="G36" s="88"/>
      <c r="H36" s="216"/>
      <c r="I36" s="220"/>
      <c r="J36" s="202"/>
      <c r="K36" s="88"/>
      <c r="L36" s="203"/>
      <c r="M36" s="203"/>
      <c r="N36" s="201"/>
      <c r="O36" s="202"/>
      <c r="P36" s="88"/>
      <c r="Q36" s="203"/>
      <c r="R36" s="203"/>
      <c r="S36" s="201"/>
      <c r="T36" s="201"/>
      <c r="U36" s="88"/>
      <c r="V36" s="203"/>
      <c r="W36" s="203"/>
      <c r="X36" s="201"/>
      <c r="Y36" s="201"/>
      <c r="Z36" s="87"/>
      <c r="AA36" s="224"/>
      <c r="AB36" s="201"/>
      <c r="AC36" s="335"/>
      <c r="AD36" s="224"/>
      <c r="AE36" s="88"/>
      <c r="AF36" s="88"/>
      <c r="AG36" s="86"/>
      <c r="AH36" s="86"/>
      <c r="AI36" s="89"/>
      <c r="AJ36" s="86"/>
      <c r="AK36" s="86"/>
      <c r="AL36" s="86"/>
      <c r="AM36" s="86"/>
      <c r="AN36" s="86"/>
      <c r="AO36" s="86"/>
      <c r="AP36" s="115"/>
      <c r="AQ36" s="116"/>
      <c r="AR36" s="116"/>
      <c r="AS36" s="136"/>
      <c r="AT36" s="116"/>
      <c r="AU36" s="86"/>
      <c r="AV36" s="86"/>
      <c r="AW36" s="86"/>
      <c r="AX36" s="86"/>
      <c r="AY36" s="86"/>
      <c r="AZ36" s="90"/>
      <c r="BA36" s="90"/>
      <c r="BB36" s="86"/>
      <c r="BC36" s="116"/>
      <c r="BD36" s="116"/>
      <c r="BE36" s="116"/>
      <c r="BF36" s="86"/>
      <c r="BG36" s="91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261"/>
      <c r="CG36" s="336">
        <f>IF(OR($E36="",$E36=0),0, ROUND(100/(VLOOKUP($I36,'IPF Formula'!$A$3:$F$10,4,FALSE)-VLOOKUP($I36,'IPF Formula'!$A$3:$F$10,5,FALSE)*EXP(-VLOOKUP($I36,'IPF Formula'!$A$3:$F$10,6,FALSE)*$E36)),6))</f>
        <v>0</v>
      </c>
    </row>
    <row r="37" spans="1:85" s="263" customFormat="1" ht="15" x14ac:dyDescent="0.2">
      <c r="A37" s="84"/>
      <c r="B37" s="85"/>
      <c r="C37" s="84"/>
      <c r="D37" s="88"/>
      <c r="E37" s="88"/>
      <c r="F37" s="201"/>
      <c r="G37" s="88"/>
      <c r="H37" s="216"/>
      <c r="I37" s="220"/>
      <c r="J37" s="202"/>
      <c r="K37" s="88"/>
      <c r="L37" s="203"/>
      <c r="M37" s="203"/>
      <c r="N37" s="201"/>
      <c r="O37" s="202"/>
      <c r="P37" s="88"/>
      <c r="Q37" s="203"/>
      <c r="R37" s="203"/>
      <c r="S37" s="201"/>
      <c r="T37" s="201"/>
      <c r="U37" s="88"/>
      <c r="V37" s="203"/>
      <c r="W37" s="203"/>
      <c r="X37" s="201"/>
      <c r="Y37" s="201"/>
      <c r="Z37" s="87"/>
      <c r="AA37" s="224"/>
      <c r="AB37" s="201"/>
      <c r="AC37" s="335"/>
      <c r="AD37" s="224"/>
      <c r="AE37" s="88"/>
      <c r="AF37" s="88"/>
      <c r="AG37" s="86"/>
      <c r="AH37" s="86"/>
      <c r="AI37" s="89"/>
      <c r="AJ37" s="86"/>
      <c r="AK37" s="86"/>
      <c r="AL37" s="86"/>
      <c r="AM37" s="86"/>
      <c r="AN37" s="86"/>
      <c r="AO37" s="86"/>
      <c r="AP37" s="115"/>
      <c r="AQ37" s="116"/>
      <c r="AR37" s="116"/>
      <c r="AS37" s="136"/>
      <c r="AT37" s="116"/>
      <c r="AU37" s="86"/>
      <c r="AV37" s="86"/>
      <c r="AW37" s="86"/>
      <c r="AX37" s="86"/>
      <c r="AY37" s="86"/>
      <c r="AZ37" s="90"/>
      <c r="BA37" s="90"/>
      <c r="BB37" s="86"/>
      <c r="BC37" s="116"/>
      <c r="BD37" s="116"/>
      <c r="BE37" s="116"/>
      <c r="BF37" s="86"/>
      <c r="BG37" s="91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261"/>
      <c r="CG37" s="336">
        <f>IF(OR($E37="",$E37=0),0, ROUND(100/(VLOOKUP($I37,'IPF Formula'!$A$3:$F$10,4,FALSE)-VLOOKUP($I37,'IPF Formula'!$A$3:$F$10,5,FALSE)*EXP(-VLOOKUP($I37,'IPF Formula'!$A$3:$F$10,6,FALSE)*$E37)),6))</f>
        <v>0</v>
      </c>
    </row>
    <row r="38" spans="1:85" s="263" customFormat="1" ht="15" x14ac:dyDescent="0.2">
      <c r="A38" s="84"/>
      <c r="B38" s="85"/>
      <c r="C38" s="84"/>
      <c r="D38" s="88"/>
      <c r="E38" s="88"/>
      <c r="F38" s="201"/>
      <c r="G38" s="88"/>
      <c r="H38" s="216"/>
      <c r="I38" s="220"/>
      <c r="J38" s="202"/>
      <c r="K38" s="88"/>
      <c r="L38" s="203"/>
      <c r="M38" s="203"/>
      <c r="N38" s="201"/>
      <c r="O38" s="202"/>
      <c r="P38" s="88"/>
      <c r="Q38" s="203"/>
      <c r="R38" s="203"/>
      <c r="S38" s="201"/>
      <c r="T38" s="201"/>
      <c r="U38" s="88"/>
      <c r="V38" s="203"/>
      <c r="W38" s="203"/>
      <c r="X38" s="201"/>
      <c r="Y38" s="201"/>
      <c r="Z38" s="87"/>
      <c r="AA38" s="224"/>
      <c r="AB38" s="201"/>
      <c r="AC38" s="335"/>
      <c r="AD38" s="224"/>
      <c r="AE38" s="88"/>
      <c r="AF38" s="88"/>
      <c r="AG38" s="86"/>
      <c r="AH38" s="86"/>
      <c r="AI38" s="89"/>
      <c r="AJ38" s="86"/>
      <c r="AK38" s="86"/>
      <c r="AL38" s="86"/>
      <c r="AM38" s="86"/>
      <c r="AN38" s="86"/>
      <c r="AO38" s="86"/>
      <c r="AP38" s="115"/>
      <c r="AQ38" s="116"/>
      <c r="AR38" s="116"/>
      <c r="AS38" s="136"/>
      <c r="AT38" s="116"/>
      <c r="AU38" s="86"/>
      <c r="AV38" s="86"/>
      <c r="AW38" s="86"/>
      <c r="AX38" s="86"/>
      <c r="AY38" s="86"/>
      <c r="AZ38" s="90"/>
      <c r="BA38" s="90"/>
      <c r="BB38" s="86"/>
      <c r="BC38" s="116"/>
      <c r="BD38" s="116"/>
      <c r="BE38" s="116"/>
      <c r="BF38" s="86"/>
      <c r="BG38" s="91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261"/>
      <c r="CG38" s="336">
        <f>IF(OR($E38="",$E38=0),0, ROUND(100/(VLOOKUP($I38,'IPF Formula'!$A$3:$F$10,4,FALSE)-VLOOKUP($I38,'IPF Formula'!$A$3:$F$10,5,FALSE)*EXP(-VLOOKUP($I38,'IPF Formula'!$A$3:$F$10,6,FALSE)*$E38)),6))</f>
        <v>0</v>
      </c>
    </row>
    <row r="39" spans="1:85" s="263" customFormat="1" ht="15" x14ac:dyDescent="0.2">
      <c r="A39" s="84"/>
      <c r="B39" s="85"/>
      <c r="C39" s="84"/>
      <c r="D39" s="88"/>
      <c r="E39" s="88"/>
      <c r="F39" s="201"/>
      <c r="G39" s="88"/>
      <c r="H39" s="216"/>
      <c r="I39" s="220"/>
      <c r="J39" s="202"/>
      <c r="K39" s="88"/>
      <c r="L39" s="203"/>
      <c r="M39" s="203"/>
      <c r="N39" s="201"/>
      <c r="O39" s="202"/>
      <c r="P39" s="88"/>
      <c r="Q39" s="203"/>
      <c r="R39" s="203"/>
      <c r="S39" s="201"/>
      <c r="T39" s="201"/>
      <c r="U39" s="88"/>
      <c r="V39" s="203"/>
      <c r="W39" s="203"/>
      <c r="X39" s="201"/>
      <c r="Y39" s="201"/>
      <c r="Z39" s="87"/>
      <c r="AA39" s="224"/>
      <c r="AB39" s="201"/>
      <c r="AC39" s="335"/>
      <c r="AD39" s="224"/>
      <c r="AE39" s="88"/>
      <c r="AF39" s="88"/>
      <c r="AG39" s="86"/>
      <c r="AH39" s="86"/>
      <c r="AI39" s="89"/>
      <c r="AJ39" s="86"/>
      <c r="AK39" s="86"/>
      <c r="AL39" s="86"/>
      <c r="AM39" s="86"/>
      <c r="AN39" s="86"/>
      <c r="AO39" s="86"/>
      <c r="AP39" s="115"/>
      <c r="AQ39" s="116"/>
      <c r="AR39" s="116"/>
      <c r="AS39" s="136"/>
      <c r="AT39" s="116"/>
      <c r="AU39" s="86"/>
      <c r="AV39" s="86"/>
      <c r="AW39" s="86"/>
      <c r="AX39" s="86"/>
      <c r="AY39" s="86"/>
      <c r="AZ39" s="90"/>
      <c r="BA39" s="90"/>
      <c r="BB39" s="86"/>
      <c r="BC39" s="116"/>
      <c r="BD39" s="116"/>
      <c r="BE39" s="116"/>
      <c r="BF39" s="86"/>
      <c r="BG39" s="91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261"/>
      <c r="CG39" s="336">
        <f>IF(OR($E39="",$E39=0),0, ROUND(100/(VLOOKUP($I39,'IPF Formula'!$A$3:$F$10,4,FALSE)-VLOOKUP($I39,'IPF Formula'!$A$3:$F$10,5,FALSE)*EXP(-VLOOKUP($I39,'IPF Formula'!$A$3:$F$10,6,FALSE)*$E39)),6))</f>
        <v>0</v>
      </c>
    </row>
    <row r="40" spans="1:85" s="263" customFormat="1" ht="15" x14ac:dyDescent="0.2">
      <c r="A40" s="84"/>
      <c r="B40" s="85"/>
      <c r="C40" s="84"/>
      <c r="D40" s="88"/>
      <c r="E40" s="88"/>
      <c r="F40" s="201"/>
      <c r="G40" s="88"/>
      <c r="H40" s="216"/>
      <c r="I40" s="220"/>
      <c r="J40" s="202"/>
      <c r="K40" s="88"/>
      <c r="L40" s="203"/>
      <c r="M40" s="203"/>
      <c r="N40" s="201"/>
      <c r="O40" s="202"/>
      <c r="P40" s="88"/>
      <c r="Q40" s="203"/>
      <c r="R40" s="203"/>
      <c r="S40" s="201"/>
      <c r="T40" s="201"/>
      <c r="U40" s="88"/>
      <c r="V40" s="203"/>
      <c r="W40" s="203"/>
      <c r="X40" s="201"/>
      <c r="Y40" s="201"/>
      <c r="Z40" s="87"/>
      <c r="AA40" s="224"/>
      <c r="AB40" s="201"/>
      <c r="AC40" s="335"/>
      <c r="AD40" s="224"/>
      <c r="AE40" s="88"/>
      <c r="AF40" s="88"/>
      <c r="AG40" s="86"/>
      <c r="AH40" s="86"/>
      <c r="AI40" s="89"/>
      <c r="AJ40" s="86"/>
      <c r="AK40" s="86"/>
      <c r="AL40" s="86"/>
      <c r="AM40" s="86"/>
      <c r="AN40" s="86"/>
      <c r="AO40" s="86"/>
      <c r="AP40" s="115"/>
      <c r="AQ40" s="116"/>
      <c r="AR40" s="116"/>
      <c r="AS40" s="136"/>
      <c r="AT40" s="116"/>
      <c r="AU40" s="86"/>
      <c r="AV40" s="86"/>
      <c r="AW40" s="86"/>
      <c r="AX40" s="86"/>
      <c r="AY40" s="86"/>
      <c r="AZ40" s="90"/>
      <c r="BA40" s="90"/>
      <c r="BB40" s="86"/>
      <c r="BC40" s="116"/>
      <c r="BD40" s="116"/>
      <c r="BE40" s="116"/>
      <c r="BF40" s="86"/>
      <c r="BG40" s="91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261"/>
      <c r="CG40" s="336">
        <f>IF(OR($E40="",$E40=0),0, ROUND(100/(VLOOKUP($I40,'IPF Formula'!$A$3:$F$10,4,FALSE)-VLOOKUP($I40,'IPF Formula'!$A$3:$F$10,5,FALSE)*EXP(-VLOOKUP($I40,'IPF Formula'!$A$3:$F$10,6,FALSE)*$E40)),6))</f>
        <v>0</v>
      </c>
    </row>
    <row r="41" spans="1:85" s="263" customFormat="1" ht="15" x14ac:dyDescent="0.2">
      <c r="A41" s="84"/>
      <c r="B41" s="85"/>
      <c r="C41" s="84"/>
      <c r="D41" s="88"/>
      <c r="E41" s="88"/>
      <c r="F41" s="201"/>
      <c r="G41" s="88"/>
      <c r="H41" s="216"/>
      <c r="I41" s="220"/>
      <c r="J41" s="202"/>
      <c r="K41" s="88"/>
      <c r="L41" s="203"/>
      <c r="M41" s="203"/>
      <c r="N41" s="201"/>
      <c r="O41" s="202"/>
      <c r="P41" s="88"/>
      <c r="Q41" s="203"/>
      <c r="R41" s="203"/>
      <c r="S41" s="201"/>
      <c r="T41" s="201"/>
      <c r="U41" s="88"/>
      <c r="V41" s="203"/>
      <c r="W41" s="203"/>
      <c r="X41" s="201"/>
      <c r="Y41" s="201"/>
      <c r="Z41" s="87"/>
      <c r="AA41" s="224"/>
      <c r="AB41" s="201"/>
      <c r="AC41" s="335"/>
      <c r="AD41" s="224"/>
      <c r="AE41" s="88"/>
      <c r="AF41" s="88"/>
      <c r="AG41" s="86"/>
      <c r="AH41" s="86"/>
      <c r="AI41" s="89"/>
      <c r="AJ41" s="86"/>
      <c r="AK41" s="86"/>
      <c r="AL41" s="86"/>
      <c r="AM41" s="86"/>
      <c r="AN41" s="86"/>
      <c r="AO41" s="86"/>
      <c r="AP41" s="115"/>
      <c r="AQ41" s="116"/>
      <c r="AR41" s="116"/>
      <c r="AS41" s="136"/>
      <c r="AT41" s="116"/>
      <c r="AU41" s="86"/>
      <c r="AV41" s="86"/>
      <c r="AW41" s="86"/>
      <c r="AX41" s="86"/>
      <c r="AY41" s="86"/>
      <c r="AZ41" s="90"/>
      <c r="BA41" s="90"/>
      <c r="BB41" s="86"/>
      <c r="BC41" s="116"/>
      <c r="BD41" s="116"/>
      <c r="BE41" s="116"/>
      <c r="BF41" s="86"/>
      <c r="BG41" s="91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261"/>
      <c r="CG41" s="336">
        <f>IF(OR($E41="",$E41=0),0, ROUND(100/(VLOOKUP($I41,'IPF Formula'!$A$3:$F$10,4,FALSE)-VLOOKUP($I41,'IPF Formula'!$A$3:$F$10,5,FALSE)*EXP(-VLOOKUP($I41,'IPF Formula'!$A$3:$F$10,6,FALSE)*$E41)),6))</f>
        <v>0</v>
      </c>
    </row>
    <row r="42" spans="1:85" s="263" customFormat="1" ht="15" x14ac:dyDescent="0.2">
      <c r="A42" s="84"/>
      <c r="B42" s="85"/>
      <c r="C42" s="84"/>
      <c r="D42" s="88"/>
      <c r="E42" s="88"/>
      <c r="F42" s="201"/>
      <c r="G42" s="88"/>
      <c r="H42" s="216"/>
      <c r="I42" s="220"/>
      <c r="J42" s="202"/>
      <c r="K42" s="88"/>
      <c r="L42" s="203"/>
      <c r="M42" s="203"/>
      <c r="N42" s="201"/>
      <c r="O42" s="202"/>
      <c r="P42" s="88"/>
      <c r="Q42" s="203"/>
      <c r="R42" s="203"/>
      <c r="S42" s="201"/>
      <c r="T42" s="201"/>
      <c r="U42" s="88"/>
      <c r="V42" s="203"/>
      <c r="W42" s="203"/>
      <c r="X42" s="201"/>
      <c r="Y42" s="201"/>
      <c r="Z42" s="87"/>
      <c r="AA42" s="224"/>
      <c r="AB42" s="201"/>
      <c r="AC42" s="335"/>
      <c r="AD42" s="224"/>
      <c r="AE42" s="88"/>
      <c r="AF42" s="88"/>
      <c r="AG42" s="86"/>
      <c r="AH42" s="86"/>
      <c r="AI42" s="89"/>
      <c r="AJ42" s="86"/>
      <c r="AK42" s="86"/>
      <c r="AL42" s="86"/>
      <c r="AM42" s="86"/>
      <c r="AN42" s="86"/>
      <c r="AO42" s="86"/>
      <c r="AP42" s="115"/>
      <c r="AQ42" s="116"/>
      <c r="AR42" s="116"/>
      <c r="AS42" s="136"/>
      <c r="AT42" s="116"/>
      <c r="AU42" s="86"/>
      <c r="AV42" s="86"/>
      <c r="AW42" s="86"/>
      <c r="AX42" s="86"/>
      <c r="AY42" s="86"/>
      <c r="AZ42" s="90"/>
      <c r="BA42" s="90"/>
      <c r="BB42" s="86"/>
      <c r="BC42" s="116"/>
      <c r="BD42" s="116"/>
      <c r="BE42" s="116"/>
      <c r="BF42" s="86"/>
      <c r="BG42" s="91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261"/>
      <c r="CG42" s="336">
        <f>IF(OR($E42="",$E42=0),0, ROUND(100/(VLOOKUP($I42,'IPF Formula'!$A$3:$F$10,4,FALSE)-VLOOKUP($I42,'IPF Formula'!$A$3:$F$10,5,FALSE)*EXP(-VLOOKUP($I42,'IPF Formula'!$A$3:$F$10,6,FALSE)*$E42)),6))</f>
        <v>0</v>
      </c>
    </row>
    <row r="43" spans="1:85" s="263" customFormat="1" ht="15" x14ac:dyDescent="0.2">
      <c r="A43" s="84"/>
      <c r="B43" s="85"/>
      <c r="C43" s="84"/>
      <c r="D43" s="88"/>
      <c r="E43" s="88"/>
      <c r="F43" s="201"/>
      <c r="G43" s="88"/>
      <c r="H43" s="216"/>
      <c r="I43" s="220"/>
      <c r="J43" s="202"/>
      <c r="K43" s="88"/>
      <c r="L43" s="203"/>
      <c r="M43" s="203"/>
      <c r="N43" s="201"/>
      <c r="O43" s="202"/>
      <c r="P43" s="88"/>
      <c r="Q43" s="203"/>
      <c r="R43" s="203"/>
      <c r="S43" s="201"/>
      <c r="T43" s="201"/>
      <c r="U43" s="88"/>
      <c r="V43" s="203"/>
      <c r="W43" s="203"/>
      <c r="X43" s="201"/>
      <c r="Y43" s="201"/>
      <c r="Z43" s="87"/>
      <c r="AA43" s="224"/>
      <c r="AB43" s="201"/>
      <c r="AC43" s="335"/>
      <c r="AD43" s="224"/>
      <c r="AE43" s="88"/>
      <c r="AF43" s="88"/>
      <c r="AG43" s="86"/>
      <c r="AH43" s="86"/>
      <c r="AI43" s="89"/>
      <c r="AJ43" s="86"/>
      <c r="AK43" s="86"/>
      <c r="AL43" s="86"/>
      <c r="AM43" s="86"/>
      <c r="AN43" s="86"/>
      <c r="AO43" s="86"/>
      <c r="AP43" s="115"/>
      <c r="AQ43" s="116"/>
      <c r="AR43" s="116"/>
      <c r="AS43" s="136"/>
      <c r="AT43" s="116"/>
      <c r="AU43" s="86"/>
      <c r="AV43" s="86"/>
      <c r="AW43" s="86"/>
      <c r="AX43" s="86"/>
      <c r="AY43" s="86"/>
      <c r="AZ43" s="90"/>
      <c r="BA43" s="90"/>
      <c r="BB43" s="86"/>
      <c r="BC43" s="116"/>
      <c r="BD43" s="116"/>
      <c r="BE43" s="116"/>
      <c r="BF43" s="86"/>
      <c r="BG43" s="91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261"/>
      <c r="CG43" s="336">
        <f>IF(OR($E43="",$E43=0),0, ROUND(100/(VLOOKUP($I43,'IPF Formula'!$A$3:$F$10,4,FALSE)-VLOOKUP($I43,'IPF Formula'!$A$3:$F$10,5,FALSE)*EXP(-VLOOKUP($I43,'IPF Formula'!$A$3:$F$10,6,FALSE)*$E43)),6))</f>
        <v>0</v>
      </c>
    </row>
    <row r="44" spans="1:85" s="263" customFormat="1" ht="15" x14ac:dyDescent="0.2">
      <c r="A44" s="84"/>
      <c r="B44" s="85"/>
      <c r="C44" s="84"/>
      <c r="D44" s="88"/>
      <c r="E44" s="88"/>
      <c r="F44" s="201"/>
      <c r="G44" s="88"/>
      <c r="H44" s="216"/>
      <c r="I44" s="220"/>
      <c r="J44" s="202"/>
      <c r="K44" s="88"/>
      <c r="L44" s="203"/>
      <c r="M44" s="203"/>
      <c r="N44" s="201"/>
      <c r="O44" s="202"/>
      <c r="P44" s="88"/>
      <c r="Q44" s="203"/>
      <c r="R44" s="203"/>
      <c r="S44" s="201"/>
      <c r="T44" s="201"/>
      <c r="U44" s="88"/>
      <c r="V44" s="203"/>
      <c r="W44" s="203"/>
      <c r="X44" s="201"/>
      <c r="Y44" s="201"/>
      <c r="Z44" s="87"/>
      <c r="AA44" s="224"/>
      <c r="AB44" s="201"/>
      <c r="AC44" s="335"/>
      <c r="AD44" s="224"/>
      <c r="AE44" s="88"/>
      <c r="AF44" s="88"/>
      <c r="AG44" s="86"/>
      <c r="AH44" s="86"/>
      <c r="AI44" s="89"/>
      <c r="AJ44" s="86"/>
      <c r="AK44" s="86"/>
      <c r="AL44" s="86"/>
      <c r="AM44" s="86"/>
      <c r="AN44" s="86"/>
      <c r="AO44" s="86"/>
      <c r="AP44" s="115"/>
      <c r="AQ44" s="116"/>
      <c r="AR44" s="116"/>
      <c r="AS44" s="136"/>
      <c r="AT44" s="116"/>
      <c r="AU44" s="86"/>
      <c r="AV44" s="86"/>
      <c r="AW44" s="86"/>
      <c r="AX44" s="86"/>
      <c r="AY44" s="86"/>
      <c r="AZ44" s="90"/>
      <c r="BA44" s="90"/>
      <c r="BB44" s="86"/>
      <c r="BC44" s="116"/>
      <c r="BD44" s="116"/>
      <c r="BE44" s="116"/>
      <c r="BF44" s="86"/>
      <c r="BG44" s="91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261"/>
      <c r="CG44" s="336">
        <f>IF(OR($E44="",$E44=0),0, ROUND(100/(VLOOKUP($I44,'IPF Formula'!$A$3:$F$10,4,FALSE)-VLOOKUP($I44,'IPF Formula'!$A$3:$F$10,5,FALSE)*EXP(-VLOOKUP($I44,'IPF Formula'!$A$3:$F$10,6,FALSE)*$E44)),6))</f>
        <v>0</v>
      </c>
    </row>
    <row r="45" spans="1:85" s="263" customFormat="1" ht="15" x14ac:dyDescent="0.2">
      <c r="A45" s="84"/>
      <c r="B45" s="85"/>
      <c r="C45" s="84"/>
      <c r="D45" s="88"/>
      <c r="E45" s="88"/>
      <c r="F45" s="201"/>
      <c r="G45" s="88"/>
      <c r="H45" s="216"/>
      <c r="I45" s="220"/>
      <c r="J45" s="202"/>
      <c r="K45" s="88"/>
      <c r="L45" s="203"/>
      <c r="M45" s="203"/>
      <c r="N45" s="201"/>
      <c r="O45" s="202"/>
      <c r="P45" s="88"/>
      <c r="Q45" s="203"/>
      <c r="R45" s="203"/>
      <c r="S45" s="201"/>
      <c r="T45" s="201"/>
      <c r="U45" s="88"/>
      <c r="V45" s="203"/>
      <c r="W45" s="203"/>
      <c r="X45" s="201"/>
      <c r="Y45" s="201"/>
      <c r="Z45" s="87"/>
      <c r="AA45" s="224"/>
      <c r="AB45" s="201"/>
      <c r="AC45" s="335"/>
      <c r="AD45" s="224"/>
      <c r="AE45" s="88"/>
      <c r="AF45" s="88"/>
      <c r="AG45" s="86"/>
      <c r="AH45" s="86"/>
      <c r="AI45" s="89"/>
      <c r="AJ45" s="86"/>
      <c r="AK45" s="86"/>
      <c r="AL45" s="86"/>
      <c r="AM45" s="86"/>
      <c r="AN45" s="86"/>
      <c r="AO45" s="86"/>
      <c r="AP45" s="115"/>
      <c r="AQ45" s="116"/>
      <c r="AR45" s="116"/>
      <c r="AS45" s="136"/>
      <c r="AT45" s="116"/>
      <c r="AU45" s="86"/>
      <c r="AV45" s="86"/>
      <c r="AW45" s="86"/>
      <c r="AX45" s="86"/>
      <c r="AY45" s="86"/>
      <c r="AZ45" s="90"/>
      <c r="BA45" s="90"/>
      <c r="BB45" s="86"/>
      <c r="BC45" s="116"/>
      <c r="BD45" s="116"/>
      <c r="BE45" s="116"/>
      <c r="BF45" s="86"/>
      <c r="BG45" s="91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261"/>
      <c r="CG45" s="336">
        <f>IF(OR($E45="",$E45=0),0, ROUND(100/(VLOOKUP($I45,'IPF Formula'!$A$3:$F$10,4,FALSE)-VLOOKUP($I45,'IPF Formula'!$A$3:$F$10,5,FALSE)*EXP(-VLOOKUP($I45,'IPF Formula'!$A$3:$F$10,6,FALSE)*$E45)),6))</f>
        <v>0</v>
      </c>
    </row>
    <row r="46" spans="1:85" s="263" customFormat="1" ht="15" x14ac:dyDescent="0.2">
      <c r="A46" s="84"/>
      <c r="B46" s="85"/>
      <c r="C46" s="84"/>
      <c r="D46" s="88"/>
      <c r="E46" s="88"/>
      <c r="F46" s="201"/>
      <c r="G46" s="88"/>
      <c r="H46" s="216"/>
      <c r="I46" s="220"/>
      <c r="J46" s="202"/>
      <c r="K46" s="88"/>
      <c r="L46" s="203"/>
      <c r="M46" s="203"/>
      <c r="N46" s="201"/>
      <c r="O46" s="202"/>
      <c r="P46" s="88"/>
      <c r="Q46" s="203"/>
      <c r="R46" s="203"/>
      <c r="S46" s="201"/>
      <c r="T46" s="201"/>
      <c r="U46" s="88"/>
      <c r="V46" s="203"/>
      <c r="W46" s="203"/>
      <c r="X46" s="201"/>
      <c r="Y46" s="201"/>
      <c r="Z46" s="87"/>
      <c r="AA46" s="224"/>
      <c r="AB46" s="201"/>
      <c r="AC46" s="335"/>
      <c r="AD46" s="224"/>
      <c r="AE46" s="88"/>
      <c r="AF46" s="88"/>
      <c r="AG46" s="86"/>
      <c r="AH46" s="86"/>
      <c r="AI46" s="89"/>
      <c r="AJ46" s="86"/>
      <c r="AK46" s="86"/>
      <c r="AL46" s="86"/>
      <c r="AM46" s="86"/>
      <c r="AN46" s="86"/>
      <c r="AO46" s="86"/>
      <c r="AP46" s="115"/>
      <c r="AQ46" s="116"/>
      <c r="AR46" s="116"/>
      <c r="AS46" s="136"/>
      <c r="AT46" s="116"/>
      <c r="AU46" s="86"/>
      <c r="AV46" s="86"/>
      <c r="AW46" s="86"/>
      <c r="AX46" s="86"/>
      <c r="AY46" s="86"/>
      <c r="AZ46" s="90"/>
      <c r="BA46" s="90"/>
      <c r="BB46" s="86"/>
      <c r="BC46" s="116"/>
      <c r="BD46" s="116"/>
      <c r="BE46" s="116"/>
      <c r="BF46" s="86"/>
      <c r="BG46" s="91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261"/>
      <c r="CG46" s="336">
        <f>IF(OR($E46="",$E46=0),0, ROUND(100/(VLOOKUP($I46,'IPF Formula'!$A$3:$F$10,4,FALSE)-VLOOKUP($I46,'IPF Formula'!$A$3:$F$10,5,FALSE)*EXP(-VLOOKUP($I46,'IPF Formula'!$A$3:$F$10,6,FALSE)*$E46)),6))</f>
        <v>0</v>
      </c>
    </row>
    <row r="47" spans="1:85" s="263" customFormat="1" ht="15" x14ac:dyDescent="0.2">
      <c r="A47" s="84"/>
      <c r="B47" s="85"/>
      <c r="C47" s="84"/>
      <c r="D47" s="88"/>
      <c r="E47" s="88"/>
      <c r="F47" s="201"/>
      <c r="G47" s="88"/>
      <c r="H47" s="216"/>
      <c r="I47" s="220"/>
      <c r="J47" s="202"/>
      <c r="K47" s="88"/>
      <c r="L47" s="203"/>
      <c r="M47" s="203"/>
      <c r="N47" s="201"/>
      <c r="O47" s="202"/>
      <c r="P47" s="88"/>
      <c r="Q47" s="203"/>
      <c r="R47" s="203"/>
      <c r="S47" s="201"/>
      <c r="T47" s="201"/>
      <c r="U47" s="88"/>
      <c r="V47" s="203"/>
      <c r="W47" s="203"/>
      <c r="X47" s="201"/>
      <c r="Y47" s="201"/>
      <c r="Z47" s="87"/>
      <c r="AA47" s="224"/>
      <c r="AB47" s="201"/>
      <c r="AC47" s="335"/>
      <c r="AD47" s="224"/>
      <c r="AE47" s="88"/>
      <c r="AF47" s="88"/>
      <c r="AG47" s="86"/>
      <c r="AH47" s="86"/>
      <c r="AI47" s="89"/>
      <c r="AJ47" s="86"/>
      <c r="AK47" s="86"/>
      <c r="AL47" s="86"/>
      <c r="AM47" s="86"/>
      <c r="AN47" s="86"/>
      <c r="AO47" s="86"/>
      <c r="AP47" s="115"/>
      <c r="AQ47" s="116"/>
      <c r="AR47" s="116"/>
      <c r="AS47" s="136"/>
      <c r="AT47" s="116"/>
      <c r="AU47" s="86"/>
      <c r="AV47" s="86"/>
      <c r="AW47" s="86"/>
      <c r="AX47" s="86"/>
      <c r="AY47" s="86"/>
      <c r="AZ47" s="90"/>
      <c r="BA47" s="90"/>
      <c r="BB47" s="86"/>
      <c r="BC47" s="116"/>
      <c r="BD47" s="116"/>
      <c r="BE47" s="116"/>
      <c r="BF47" s="86"/>
      <c r="BG47" s="91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261"/>
      <c r="CG47" s="336">
        <f>IF(OR($E47="",$E47=0),0, ROUND(100/(VLOOKUP($I47,'IPF Formula'!$A$3:$F$10,4,FALSE)-VLOOKUP($I47,'IPF Formula'!$A$3:$F$10,5,FALSE)*EXP(-VLOOKUP($I47,'IPF Formula'!$A$3:$F$10,6,FALSE)*$E47)),6))</f>
        <v>0</v>
      </c>
    </row>
    <row r="48" spans="1:85" s="263" customFormat="1" ht="15" x14ac:dyDescent="0.2">
      <c r="A48" s="84"/>
      <c r="B48" s="85"/>
      <c r="C48" s="84"/>
      <c r="D48" s="88"/>
      <c r="E48" s="88"/>
      <c r="F48" s="201"/>
      <c r="G48" s="88"/>
      <c r="H48" s="216"/>
      <c r="I48" s="220"/>
      <c r="J48" s="202"/>
      <c r="K48" s="88"/>
      <c r="L48" s="203"/>
      <c r="M48" s="203"/>
      <c r="N48" s="201"/>
      <c r="O48" s="202"/>
      <c r="P48" s="88"/>
      <c r="Q48" s="203"/>
      <c r="R48" s="203"/>
      <c r="S48" s="201"/>
      <c r="T48" s="201"/>
      <c r="U48" s="88"/>
      <c r="V48" s="203"/>
      <c r="W48" s="203"/>
      <c r="X48" s="201"/>
      <c r="Y48" s="201"/>
      <c r="Z48" s="87"/>
      <c r="AA48" s="224"/>
      <c r="AB48" s="201"/>
      <c r="AC48" s="335"/>
      <c r="AD48" s="224"/>
      <c r="AE48" s="88"/>
      <c r="AF48" s="88"/>
      <c r="AG48" s="86"/>
      <c r="AH48" s="86"/>
      <c r="AI48" s="89"/>
      <c r="AJ48" s="86"/>
      <c r="AK48" s="86"/>
      <c r="AL48" s="86"/>
      <c r="AM48" s="86"/>
      <c r="AN48" s="86"/>
      <c r="AO48" s="86"/>
      <c r="AP48" s="115"/>
      <c r="AQ48" s="116"/>
      <c r="AR48" s="116"/>
      <c r="AS48" s="136"/>
      <c r="AT48" s="116"/>
      <c r="AU48" s="86"/>
      <c r="AV48" s="86"/>
      <c r="AW48" s="86"/>
      <c r="AX48" s="86"/>
      <c r="AY48" s="86"/>
      <c r="AZ48" s="90"/>
      <c r="BA48" s="90"/>
      <c r="BB48" s="86"/>
      <c r="BC48" s="116"/>
      <c r="BD48" s="116"/>
      <c r="BE48" s="116"/>
      <c r="BF48" s="86"/>
      <c r="BG48" s="91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261"/>
      <c r="CG48" s="336">
        <f>IF(OR($E48="",$E48=0),0, ROUND(100/(VLOOKUP($I48,'IPF Formula'!$A$3:$F$10,4,FALSE)-VLOOKUP($I48,'IPF Formula'!$A$3:$F$10,5,FALSE)*EXP(-VLOOKUP($I48,'IPF Formula'!$A$3:$F$10,6,FALSE)*$E48)),6))</f>
        <v>0</v>
      </c>
    </row>
    <row r="49" spans="1:85" s="263" customFormat="1" ht="15" x14ac:dyDescent="0.2">
      <c r="A49" s="84"/>
      <c r="B49" s="85"/>
      <c r="C49" s="84"/>
      <c r="D49" s="88"/>
      <c r="E49" s="88"/>
      <c r="F49" s="201"/>
      <c r="G49" s="88"/>
      <c r="H49" s="216"/>
      <c r="I49" s="220"/>
      <c r="J49" s="202"/>
      <c r="K49" s="88"/>
      <c r="L49" s="203"/>
      <c r="M49" s="203"/>
      <c r="N49" s="201"/>
      <c r="O49" s="202"/>
      <c r="P49" s="88"/>
      <c r="Q49" s="203"/>
      <c r="R49" s="203"/>
      <c r="S49" s="201"/>
      <c r="T49" s="201"/>
      <c r="U49" s="88"/>
      <c r="V49" s="203"/>
      <c r="W49" s="203"/>
      <c r="X49" s="201"/>
      <c r="Y49" s="201"/>
      <c r="Z49" s="87"/>
      <c r="AA49" s="224"/>
      <c r="AB49" s="201"/>
      <c r="AC49" s="335"/>
      <c r="AD49" s="224"/>
      <c r="AE49" s="88"/>
      <c r="AF49" s="88"/>
      <c r="AG49" s="86"/>
      <c r="AH49" s="86"/>
      <c r="AI49" s="89"/>
      <c r="AJ49" s="86"/>
      <c r="AK49" s="86"/>
      <c r="AL49" s="86"/>
      <c r="AM49" s="86"/>
      <c r="AN49" s="86"/>
      <c r="AO49" s="86"/>
      <c r="AP49" s="115"/>
      <c r="AQ49" s="116"/>
      <c r="AR49" s="116"/>
      <c r="AS49" s="136"/>
      <c r="AT49" s="116"/>
      <c r="AU49" s="86"/>
      <c r="AV49" s="86"/>
      <c r="AW49" s="86"/>
      <c r="AX49" s="86"/>
      <c r="AY49" s="86"/>
      <c r="AZ49" s="90"/>
      <c r="BA49" s="90"/>
      <c r="BB49" s="86"/>
      <c r="BC49" s="116"/>
      <c r="BD49" s="116"/>
      <c r="BE49" s="116"/>
      <c r="BF49" s="86"/>
      <c r="BG49" s="91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261"/>
      <c r="CG49" s="336">
        <f>IF(OR($E49="",$E49=0),0, ROUND(100/(VLOOKUP($I49,'IPF Formula'!$A$3:$F$10,4,FALSE)-VLOOKUP($I49,'IPF Formula'!$A$3:$F$10,5,FALSE)*EXP(-VLOOKUP($I49,'IPF Formula'!$A$3:$F$10,6,FALSE)*$E49)),6))</f>
        <v>0</v>
      </c>
    </row>
    <row r="50" spans="1:85" s="263" customFormat="1" ht="15" x14ac:dyDescent="0.2">
      <c r="A50" s="84"/>
      <c r="B50" s="85"/>
      <c r="C50" s="84"/>
      <c r="D50" s="88"/>
      <c r="E50" s="88"/>
      <c r="F50" s="201"/>
      <c r="G50" s="88"/>
      <c r="H50" s="216"/>
      <c r="I50" s="220"/>
      <c r="J50" s="202"/>
      <c r="K50" s="88"/>
      <c r="L50" s="203"/>
      <c r="M50" s="203"/>
      <c r="N50" s="201"/>
      <c r="O50" s="202"/>
      <c r="P50" s="88"/>
      <c r="Q50" s="203"/>
      <c r="R50" s="203"/>
      <c r="S50" s="201"/>
      <c r="T50" s="201"/>
      <c r="U50" s="88"/>
      <c r="V50" s="203"/>
      <c r="W50" s="203"/>
      <c r="X50" s="201"/>
      <c r="Y50" s="201"/>
      <c r="Z50" s="87"/>
      <c r="AA50" s="224"/>
      <c r="AB50" s="201"/>
      <c r="AC50" s="335"/>
      <c r="AD50" s="224"/>
      <c r="AE50" s="88"/>
      <c r="AF50" s="88"/>
      <c r="AG50" s="86"/>
      <c r="AH50" s="86"/>
      <c r="AI50" s="89"/>
      <c r="AJ50" s="86"/>
      <c r="AK50" s="86"/>
      <c r="AL50" s="86"/>
      <c r="AM50" s="86"/>
      <c r="AN50" s="86"/>
      <c r="AO50" s="86"/>
      <c r="AP50" s="115"/>
      <c r="AQ50" s="116"/>
      <c r="AR50" s="116"/>
      <c r="AS50" s="136"/>
      <c r="AT50" s="116"/>
      <c r="AU50" s="86"/>
      <c r="AV50" s="86"/>
      <c r="AW50" s="86"/>
      <c r="AX50" s="86"/>
      <c r="AY50" s="86"/>
      <c r="AZ50" s="90"/>
      <c r="BA50" s="90"/>
      <c r="BB50" s="86"/>
      <c r="BC50" s="116"/>
      <c r="BD50" s="116"/>
      <c r="BE50" s="116"/>
      <c r="BF50" s="86"/>
      <c r="BG50" s="91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261"/>
      <c r="CG50" s="336">
        <f>IF(OR($E50="",$E50=0),0, ROUND(100/(VLOOKUP($I50,'IPF Formula'!$A$3:$F$10,4,FALSE)-VLOOKUP($I50,'IPF Formula'!$A$3:$F$10,5,FALSE)*EXP(-VLOOKUP($I50,'IPF Formula'!$A$3:$F$10,6,FALSE)*$E50)),6))</f>
        <v>0</v>
      </c>
    </row>
    <row r="51" spans="1:85" s="263" customFormat="1" ht="15" x14ac:dyDescent="0.2">
      <c r="A51" s="84"/>
      <c r="B51" s="85"/>
      <c r="C51" s="84"/>
      <c r="D51" s="88"/>
      <c r="E51" s="88"/>
      <c r="F51" s="201"/>
      <c r="G51" s="88"/>
      <c r="H51" s="216"/>
      <c r="I51" s="220"/>
      <c r="J51" s="202"/>
      <c r="K51" s="88"/>
      <c r="L51" s="203"/>
      <c r="M51" s="203"/>
      <c r="N51" s="201"/>
      <c r="O51" s="202"/>
      <c r="P51" s="88"/>
      <c r="Q51" s="203"/>
      <c r="R51" s="203"/>
      <c r="S51" s="201"/>
      <c r="T51" s="201"/>
      <c r="U51" s="88"/>
      <c r="V51" s="203"/>
      <c r="W51" s="203"/>
      <c r="X51" s="201"/>
      <c r="Y51" s="201"/>
      <c r="Z51" s="87"/>
      <c r="AA51" s="224"/>
      <c r="AB51" s="201"/>
      <c r="AC51" s="335"/>
      <c r="AD51" s="224"/>
      <c r="AE51" s="88"/>
      <c r="AF51" s="88"/>
      <c r="AG51" s="86"/>
      <c r="AH51" s="86"/>
      <c r="AI51" s="89"/>
      <c r="AJ51" s="86"/>
      <c r="AK51" s="86"/>
      <c r="AL51" s="86"/>
      <c r="AM51" s="86"/>
      <c r="AN51" s="86"/>
      <c r="AO51" s="86"/>
      <c r="AP51" s="115"/>
      <c r="AQ51" s="116"/>
      <c r="AR51" s="116"/>
      <c r="AS51" s="136"/>
      <c r="AT51" s="116"/>
      <c r="AU51" s="86"/>
      <c r="AV51" s="86"/>
      <c r="AW51" s="86"/>
      <c r="AX51" s="86"/>
      <c r="AY51" s="86"/>
      <c r="AZ51" s="90"/>
      <c r="BA51" s="90"/>
      <c r="BB51" s="86"/>
      <c r="BC51" s="116"/>
      <c r="BD51" s="116"/>
      <c r="BE51" s="116"/>
      <c r="BF51" s="86"/>
      <c r="BG51" s="91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261"/>
      <c r="CG51" s="336">
        <f>IF(OR($E51="",$E51=0),0, ROUND(100/(VLOOKUP($I51,'IPF Formula'!$A$3:$F$10,4,FALSE)-VLOOKUP($I51,'IPF Formula'!$A$3:$F$10,5,FALSE)*EXP(-VLOOKUP($I51,'IPF Formula'!$A$3:$F$10,6,FALSE)*$E51)),6))</f>
        <v>0</v>
      </c>
    </row>
    <row r="52" spans="1:85" s="263" customFormat="1" ht="15" x14ac:dyDescent="0.2">
      <c r="A52" s="84"/>
      <c r="B52" s="85"/>
      <c r="C52" s="84"/>
      <c r="D52" s="88"/>
      <c r="E52" s="88"/>
      <c r="F52" s="201"/>
      <c r="G52" s="88"/>
      <c r="H52" s="216"/>
      <c r="I52" s="220"/>
      <c r="J52" s="202"/>
      <c r="K52" s="88"/>
      <c r="L52" s="203"/>
      <c r="M52" s="203"/>
      <c r="N52" s="201"/>
      <c r="O52" s="202"/>
      <c r="P52" s="88"/>
      <c r="Q52" s="203"/>
      <c r="R52" s="203"/>
      <c r="S52" s="201"/>
      <c r="T52" s="201"/>
      <c r="U52" s="88"/>
      <c r="V52" s="203"/>
      <c r="W52" s="203"/>
      <c r="X52" s="201"/>
      <c r="Y52" s="201"/>
      <c r="Z52" s="87"/>
      <c r="AA52" s="224"/>
      <c r="AB52" s="201"/>
      <c r="AC52" s="335"/>
      <c r="AD52" s="224"/>
      <c r="AE52" s="88"/>
      <c r="AF52" s="88"/>
      <c r="AG52" s="86"/>
      <c r="AH52" s="86"/>
      <c r="AI52" s="89"/>
      <c r="AJ52" s="86"/>
      <c r="AK52" s="86"/>
      <c r="AL52" s="86"/>
      <c r="AM52" s="86"/>
      <c r="AN52" s="86"/>
      <c r="AO52" s="86"/>
      <c r="AP52" s="115"/>
      <c r="AQ52" s="116"/>
      <c r="AR52" s="116"/>
      <c r="AS52" s="136"/>
      <c r="AT52" s="116"/>
      <c r="AU52" s="86"/>
      <c r="AV52" s="86"/>
      <c r="AW52" s="86"/>
      <c r="AX52" s="86"/>
      <c r="AY52" s="86"/>
      <c r="AZ52" s="90"/>
      <c r="BA52" s="90"/>
      <c r="BB52" s="86"/>
      <c r="BC52" s="116"/>
      <c r="BD52" s="116"/>
      <c r="BE52" s="116"/>
      <c r="BF52" s="86"/>
      <c r="BG52" s="91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261"/>
      <c r="CG52" s="336">
        <f>IF(OR($E52="",$E52=0),0, ROUND(100/(VLOOKUP($I52,'IPF Formula'!$A$3:$F$10,4,FALSE)-VLOOKUP($I52,'IPF Formula'!$A$3:$F$10,5,FALSE)*EXP(-VLOOKUP($I52,'IPF Formula'!$A$3:$F$10,6,FALSE)*$E52)),6))</f>
        <v>0</v>
      </c>
    </row>
    <row r="53" spans="1:85" s="263" customFormat="1" ht="15" x14ac:dyDescent="0.2">
      <c r="A53" s="84"/>
      <c r="B53" s="85"/>
      <c r="C53" s="84"/>
      <c r="D53" s="88"/>
      <c r="E53" s="88"/>
      <c r="F53" s="201"/>
      <c r="G53" s="88"/>
      <c r="H53" s="216"/>
      <c r="I53" s="220"/>
      <c r="J53" s="202"/>
      <c r="K53" s="88"/>
      <c r="L53" s="203"/>
      <c r="M53" s="203"/>
      <c r="N53" s="201"/>
      <c r="O53" s="202"/>
      <c r="P53" s="88"/>
      <c r="Q53" s="203"/>
      <c r="R53" s="203"/>
      <c r="S53" s="201"/>
      <c r="T53" s="201"/>
      <c r="U53" s="88"/>
      <c r="V53" s="203"/>
      <c r="W53" s="203"/>
      <c r="X53" s="201"/>
      <c r="Y53" s="201"/>
      <c r="Z53" s="87"/>
      <c r="AA53" s="224"/>
      <c r="AB53" s="201"/>
      <c r="AC53" s="335"/>
      <c r="AD53" s="224"/>
      <c r="AE53" s="88"/>
      <c r="AF53" s="88"/>
      <c r="AG53" s="86"/>
      <c r="AH53" s="86"/>
      <c r="AI53" s="89"/>
      <c r="AJ53" s="86"/>
      <c r="AK53" s="86"/>
      <c r="AL53" s="86"/>
      <c r="AM53" s="86"/>
      <c r="AN53" s="86"/>
      <c r="AO53" s="86"/>
      <c r="AP53" s="115"/>
      <c r="AQ53" s="116"/>
      <c r="AR53" s="116"/>
      <c r="AS53" s="136"/>
      <c r="AT53" s="116"/>
      <c r="AU53" s="86"/>
      <c r="AV53" s="86"/>
      <c r="AW53" s="86"/>
      <c r="AX53" s="86"/>
      <c r="AY53" s="86"/>
      <c r="AZ53" s="90"/>
      <c r="BA53" s="90"/>
      <c r="BB53" s="86"/>
      <c r="BC53" s="116"/>
      <c r="BD53" s="116"/>
      <c r="BE53" s="116"/>
      <c r="BF53" s="86"/>
      <c r="BG53" s="91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261"/>
      <c r="CG53" s="336">
        <f>IF(OR($E53="",$E53=0),0, ROUND(100/(VLOOKUP($I53,'IPF Formula'!$A$3:$F$10,4,FALSE)-VLOOKUP($I53,'IPF Formula'!$A$3:$F$10,5,FALSE)*EXP(-VLOOKUP($I53,'IPF Formula'!$A$3:$F$10,6,FALSE)*$E53)),6))</f>
        <v>0</v>
      </c>
    </row>
    <row r="54" spans="1:85" s="263" customFormat="1" ht="15" x14ac:dyDescent="0.2">
      <c r="A54" s="84"/>
      <c r="B54" s="85"/>
      <c r="C54" s="84"/>
      <c r="D54" s="88"/>
      <c r="E54" s="88"/>
      <c r="F54" s="201"/>
      <c r="G54" s="88"/>
      <c r="H54" s="216"/>
      <c r="I54" s="220"/>
      <c r="J54" s="202"/>
      <c r="K54" s="88"/>
      <c r="L54" s="203"/>
      <c r="M54" s="203"/>
      <c r="N54" s="201"/>
      <c r="O54" s="202"/>
      <c r="P54" s="88"/>
      <c r="Q54" s="203"/>
      <c r="R54" s="203"/>
      <c r="S54" s="201"/>
      <c r="T54" s="201"/>
      <c r="U54" s="88"/>
      <c r="V54" s="203"/>
      <c r="W54" s="203"/>
      <c r="X54" s="201"/>
      <c r="Y54" s="201"/>
      <c r="Z54" s="87"/>
      <c r="AA54" s="224"/>
      <c r="AB54" s="201"/>
      <c r="AC54" s="335"/>
      <c r="AD54" s="224"/>
      <c r="AE54" s="88"/>
      <c r="AF54" s="88"/>
      <c r="AG54" s="86"/>
      <c r="AH54" s="86"/>
      <c r="AI54" s="89"/>
      <c r="AJ54" s="86"/>
      <c r="AK54" s="86"/>
      <c r="AL54" s="86"/>
      <c r="AM54" s="86"/>
      <c r="AN54" s="86"/>
      <c r="AO54" s="86"/>
      <c r="AP54" s="115"/>
      <c r="AQ54" s="116"/>
      <c r="AR54" s="116"/>
      <c r="AS54" s="136"/>
      <c r="AT54" s="116"/>
      <c r="AU54" s="86"/>
      <c r="AV54" s="86"/>
      <c r="AW54" s="86"/>
      <c r="AX54" s="86"/>
      <c r="AY54" s="86"/>
      <c r="AZ54" s="90"/>
      <c r="BA54" s="90"/>
      <c r="BB54" s="86"/>
      <c r="BC54" s="116"/>
      <c r="BD54" s="116"/>
      <c r="BE54" s="116"/>
      <c r="BF54" s="86"/>
      <c r="BG54" s="91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261"/>
      <c r="CG54" s="336">
        <f>IF(OR($E54="",$E54=0),0, ROUND(100/(VLOOKUP($I54,'IPF Formula'!$A$3:$F$10,4,FALSE)-VLOOKUP($I54,'IPF Formula'!$A$3:$F$10,5,FALSE)*EXP(-VLOOKUP($I54,'IPF Formula'!$A$3:$F$10,6,FALSE)*$E54)),6))</f>
        <v>0</v>
      </c>
    </row>
    <row r="55" spans="1:85" s="263" customFormat="1" ht="15" x14ac:dyDescent="0.2">
      <c r="A55" s="84"/>
      <c r="B55" s="85"/>
      <c r="C55" s="84"/>
      <c r="D55" s="88"/>
      <c r="E55" s="88"/>
      <c r="F55" s="201"/>
      <c r="G55" s="88"/>
      <c r="H55" s="216"/>
      <c r="I55" s="220"/>
      <c r="J55" s="202"/>
      <c r="K55" s="88"/>
      <c r="L55" s="203"/>
      <c r="M55" s="203"/>
      <c r="N55" s="201"/>
      <c r="O55" s="202"/>
      <c r="P55" s="88"/>
      <c r="Q55" s="203"/>
      <c r="R55" s="203"/>
      <c r="S55" s="201"/>
      <c r="T55" s="201"/>
      <c r="U55" s="88"/>
      <c r="V55" s="203"/>
      <c r="W55" s="203"/>
      <c r="X55" s="201"/>
      <c r="Y55" s="201"/>
      <c r="Z55" s="87"/>
      <c r="AA55" s="224"/>
      <c r="AB55" s="201"/>
      <c r="AC55" s="335"/>
      <c r="AD55" s="224"/>
      <c r="AE55" s="88"/>
      <c r="AF55" s="88"/>
      <c r="AG55" s="86"/>
      <c r="AH55" s="86"/>
      <c r="AI55" s="89"/>
      <c r="AJ55" s="86"/>
      <c r="AK55" s="86"/>
      <c r="AL55" s="86"/>
      <c r="AM55" s="86"/>
      <c r="AN55" s="86"/>
      <c r="AO55" s="86"/>
      <c r="AP55" s="115"/>
      <c r="AQ55" s="116"/>
      <c r="AR55" s="116"/>
      <c r="AS55" s="136"/>
      <c r="AT55" s="116"/>
      <c r="AU55" s="86"/>
      <c r="AV55" s="86"/>
      <c r="AW55" s="86"/>
      <c r="AX55" s="86"/>
      <c r="AY55" s="86"/>
      <c r="AZ55" s="90"/>
      <c r="BA55" s="90"/>
      <c r="BB55" s="86"/>
      <c r="BC55" s="116"/>
      <c r="BD55" s="116"/>
      <c r="BE55" s="116"/>
      <c r="BF55" s="86"/>
      <c r="BG55" s="91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261"/>
      <c r="CG55" s="336">
        <f>IF(OR($E55="",$E55=0),0, ROUND(100/(VLOOKUP($I55,'IPF Formula'!$A$3:$F$10,4,FALSE)-VLOOKUP($I55,'IPF Formula'!$A$3:$F$10,5,FALSE)*EXP(-VLOOKUP($I55,'IPF Formula'!$A$3:$F$10,6,FALSE)*$E55)),6))</f>
        <v>0</v>
      </c>
    </row>
    <row r="56" spans="1:85" s="263" customFormat="1" ht="15" x14ac:dyDescent="0.2">
      <c r="A56" s="84"/>
      <c r="B56" s="85"/>
      <c r="C56" s="84"/>
      <c r="D56" s="88"/>
      <c r="E56" s="88"/>
      <c r="F56" s="201"/>
      <c r="G56" s="88"/>
      <c r="H56" s="216"/>
      <c r="I56" s="220"/>
      <c r="J56" s="202"/>
      <c r="K56" s="88"/>
      <c r="L56" s="203"/>
      <c r="M56" s="203"/>
      <c r="N56" s="201"/>
      <c r="O56" s="202"/>
      <c r="P56" s="88"/>
      <c r="Q56" s="203"/>
      <c r="R56" s="203"/>
      <c r="S56" s="201"/>
      <c r="T56" s="201"/>
      <c r="U56" s="88"/>
      <c r="V56" s="203"/>
      <c r="W56" s="203"/>
      <c r="X56" s="201"/>
      <c r="Y56" s="201"/>
      <c r="Z56" s="87"/>
      <c r="AA56" s="224"/>
      <c r="AB56" s="201"/>
      <c r="AC56" s="335"/>
      <c r="AD56" s="224"/>
      <c r="AE56" s="88"/>
      <c r="AF56" s="88"/>
      <c r="AG56" s="86"/>
      <c r="AH56" s="86"/>
      <c r="AI56" s="89"/>
      <c r="AJ56" s="86"/>
      <c r="AK56" s="86"/>
      <c r="AL56" s="86"/>
      <c r="AM56" s="86"/>
      <c r="AN56" s="86"/>
      <c r="AO56" s="86"/>
      <c r="AP56" s="115"/>
      <c r="AQ56" s="116"/>
      <c r="AR56" s="116"/>
      <c r="AS56" s="136"/>
      <c r="AT56" s="116"/>
      <c r="AU56" s="86"/>
      <c r="AV56" s="86"/>
      <c r="AW56" s="86"/>
      <c r="AX56" s="86"/>
      <c r="AY56" s="86"/>
      <c r="AZ56" s="90"/>
      <c r="BA56" s="90"/>
      <c r="BB56" s="86"/>
      <c r="BC56" s="116"/>
      <c r="BD56" s="116"/>
      <c r="BE56" s="116"/>
      <c r="BF56" s="86"/>
      <c r="BG56" s="91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261"/>
      <c r="CG56" s="336">
        <f>IF(OR($E56="",$E56=0),0, ROUND(100/(VLOOKUP($I56,'IPF Formula'!$A$3:$F$10,4,FALSE)-VLOOKUP($I56,'IPF Formula'!$A$3:$F$10,5,FALSE)*EXP(-VLOOKUP($I56,'IPF Formula'!$A$3:$F$10,6,FALSE)*$E56)),6))</f>
        <v>0</v>
      </c>
    </row>
    <row r="57" spans="1:85" s="263" customFormat="1" ht="15" x14ac:dyDescent="0.2">
      <c r="A57" s="84"/>
      <c r="B57" s="85"/>
      <c r="C57" s="84"/>
      <c r="D57" s="88"/>
      <c r="E57" s="88"/>
      <c r="F57" s="201"/>
      <c r="G57" s="88"/>
      <c r="H57" s="216"/>
      <c r="I57" s="220"/>
      <c r="J57" s="202"/>
      <c r="K57" s="88"/>
      <c r="L57" s="203"/>
      <c r="M57" s="203"/>
      <c r="N57" s="201"/>
      <c r="O57" s="202"/>
      <c r="P57" s="88"/>
      <c r="Q57" s="203"/>
      <c r="R57" s="203"/>
      <c r="S57" s="201"/>
      <c r="T57" s="201"/>
      <c r="U57" s="88"/>
      <c r="V57" s="203"/>
      <c r="W57" s="203"/>
      <c r="X57" s="201"/>
      <c r="Y57" s="201"/>
      <c r="Z57" s="87"/>
      <c r="AA57" s="224"/>
      <c r="AB57" s="201"/>
      <c r="AC57" s="335"/>
      <c r="AD57" s="224"/>
      <c r="AE57" s="88"/>
      <c r="AF57" s="88"/>
      <c r="AG57" s="86"/>
      <c r="AH57" s="86"/>
      <c r="AI57" s="89"/>
      <c r="AJ57" s="86"/>
      <c r="AK57" s="86"/>
      <c r="AL57" s="86"/>
      <c r="AM57" s="86"/>
      <c r="AN57" s="86"/>
      <c r="AO57" s="86"/>
      <c r="AP57" s="115"/>
      <c r="AQ57" s="116"/>
      <c r="AR57" s="116"/>
      <c r="AS57" s="136"/>
      <c r="AT57" s="116"/>
      <c r="AU57" s="86"/>
      <c r="AV57" s="86"/>
      <c r="AW57" s="86"/>
      <c r="AX57" s="86"/>
      <c r="AY57" s="86"/>
      <c r="AZ57" s="90"/>
      <c r="BA57" s="90"/>
      <c r="BB57" s="86"/>
      <c r="BC57" s="116"/>
      <c r="BD57" s="116"/>
      <c r="BE57" s="116"/>
      <c r="BF57" s="86"/>
      <c r="BG57" s="91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261"/>
      <c r="CG57" s="336">
        <f>IF(OR($E57="",$E57=0),0, ROUND(100/(VLOOKUP($I57,'IPF Formula'!$A$3:$F$10,4,FALSE)-VLOOKUP($I57,'IPF Formula'!$A$3:$F$10,5,FALSE)*EXP(-VLOOKUP($I57,'IPF Formula'!$A$3:$F$10,6,FALSE)*$E57)),6))</f>
        <v>0</v>
      </c>
    </row>
    <row r="58" spans="1:85" s="263" customFormat="1" ht="15" x14ac:dyDescent="0.2">
      <c r="A58" s="84"/>
      <c r="B58" s="85"/>
      <c r="C58" s="84"/>
      <c r="D58" s="88"/>
      <c r="E58" s="88"/>
      <c r="F58" s="201"/>
      <c r="G58" s="88"/>
      <c r="H58" s="216"/>
      <c r="I58" s="220"/>
      <c r="J58" s="202"/>
      <c r="K58" s="88"/>
      <c r="L58" s="203"/>
      <c r="M58" s="203"/>
      <c r="N58" s="201"/>
      <c r="O58" s="202"/>
      <c r="P58" s="88"/>
      <c r="Q58" s="203"/>
      <c r="R58" s="203"/>
      <c r="S58" s="201"/>
      <c r="T58" s="201"/>
      <c r="U58" s="88"/>
      <c r="V58" s="203"/>
      <c r="W58" s="203"/>
      <c r="X58" s="201"/>
      <c r="Y58" s="201"/>
      <c r="Z58" s="87"/>
      <c r="AA58" s="224"/>
      <c r="AB58" s="201"/>
      <c r="AC58" s="335"/>
      <c r="AD58" s="224"/>
      <c r="AE58" s="88"/>
      <c r="AF58" s="88"/>
      <c r="AG58" s="86"/>
      <c r="AH58" s="86"/>
      <c r="AI58" s="89"/>
      <c r="AJ58" s="86"/>
      <c r="AK58" s="86"/>
      <c r="AL58" s="86"/>
      <c r="AM58" s="86"/>
      <c r="AN58" s="86"/>
      <c r="AO58" s="86"/>
      <c r="AP58" s="115"/>
      <c r="AQ58" s="116"/>
      <c r="AR58" s="116"/>
      <c r="AS58" s="136"/>
      <c r="AT58" s="116"/>
      <c r="AU58" s="86"/>
      <c r="AV58" s="86"/>
      <c r="AW58" s="86"/>
      <c r="AX58" s="86"/>
      <c r="AY58" s="86"/>
      <c r="AZ58" s="90"/>
      <c r="BA58" s="90"/>
      <c r="BB58" s="86"/>
      <c r="BC58" s="116"/>
      <c r="BD58" s="116"/>
      <c r="BE58" s="116"/>
      <c r="BF58" s="86"/>
      <c r="BG58" s="91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261"/>
      <c r="CG58" s="336">
        <f>IF(OR($E58="",$E58=0),0, ROUND(100/(VLOOKUP($I58,'IPF Formula'!$A$3:$F$10,4,FALSE)-VLOOKUP($I58,'IPF Formula'!$A$3:$F$10,5,FALSE)*EXP(-VLOOKUP($I58,'IPF Formula'!$A$3:$F$10,6,FALSE)*$E58)),6))</f>
        <v>0</v>
      </c>
    </row>
    <row r="59" spans="1:85" s="263" customFormat="1" ht="15" x14ac:dyDescent="0.2">
      <c r="A59" s="84"/>
      <c r="B59" s="85"/>
      <c r="C59" s="84"/>
      <c r="D59" s="88"/>
      <c r="E59" s="88"/>
      <c r="F59" s="201"/>
      <c r="G59" s="88"/>
      <c r="H59" s="216"/>
      <c r="I59" s="220"/>
      <c r="J59" s="202"/>
      <c r="K59" s="88"/>
      <c r="L59" s="203"/>
      <c r="M59" s="203"/>
      <c r="N59" s="201"/>
      <c r="O59" s="202"/>
      <c r="P59" s="88"/>
      <c r="Q59" s="203"/>
      <c r="R59" s="203"/>
      <c r="S59" s="201"/>
      <c r="T59" s="201"/>
      <c r="U59" s="88"/>
      <c r="V59" s="203"/>
      <c r="W59" s="203"/>
      <c r="X59" s="201"/>
      <c r="Y59" s="201"/>
      <c r="Z59" s="87"/>
      <c r="AA59" s="224"/>
      <c r="AB59" s="201"/>
      <c r="AC59" s="335"/>
      <c r="AD59" s="224"/>
      <c r="AE59" s="88"/>
      <c r="AF59" s="88"/>
      <c r="AG59" s="86"/>
      <c r="AH59" s="86"/>
      <c r="AI59" s="89"/>
      <c r="AJ59" s="86"/>
      <c r="AK59" s="86"/>
      <c r="AL59" s="86"/>
      <c r="AM59" s="86"/>
      <c r="AN59" s="86"/>
      <c r="AO59" s="86"/>
      <c r="AP59" s="115"/>
      <c r="AQ59" s="116"/>
      <c r="AR59" s="116"/>
      <c r="AS59" s="136"/>
      <c r="AT59" s="116"/>
      <c r="AU59" s="86"/>
      <c r="AV59" s="86"/>
      <c r="AW59" s="86"/>
      <c r="AX59" s="86"/>
      <c r="AY59" s="86"/>
      <c r="AZ59" s="90"/>
      <c r="BA59" s="90"/>
      <c r="BB59" s="86"/>
      <c r="BC59" s="116"/>
      <c r="BD59" s="116"/>
      <c r="BE59" s="116"/>
      <c r="BF59" s="86"/>
      <c r="BG59" s="91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261"/>
      <c r="CG59" s="336">
        <f>IF(OR($E59="",$E59=0),0, ROUND(100/(VLOOKUP($I59,'IPF Formula'!$A$3:$F$10,4,FALSE)-VLOOKUP($I59,'IPF Formula'!$A$3:$F$10,5,FALSE)*EXP(-VLOOKUP($I59,'IPF Formula'!$A$3:$F$10,6,FALSE)*$E59)),6))</f>
        <v>0</v>
      </c>
    </row>
    <row r="60" spans="1:85" s="263" customFormat="1" ht="15" x14ac:dyDescent="0.2">
      <c r="A60" s="84"/>
      <c r="B60" s="85"/>
      <c r="C60" s="84"/>
      <c r="D60" s="88"/>
      <c r="E60" s="88"/>
      <c r="F60" s="201"/>
      <c r="G60" s="88"/>
      <c r="H60" s="216"/>
      <c r="I60" s="220"/>
      <c r="J60" s="202"/>
      <c r="K60" s="88"/>
      <c r="L60" s="203"/>
      <c r="M60" s="203"/>
      <c r="N60" s="201"/>
      <c r="O60" s="202"/>
      <c r="P60" s="88"/>
      <c r="Q60" s="203"/>
      <c r="R60" s="203"/>
      <c r="S60" s="201"/>
      <c r="T60" s="201"/>
      <c r="U60" s="88"/>
      <c r="V60" s="203"/>
      <c r="W60" s="203"/>
      <c r="X60" s="201"/>
      <c r="Y60" s="201"/>
      <c r="Z60" s="87"/>
      <c r="AA60" s="224"/>
      <c r="AB60" s="201"/>
      <c r="AC60" s="335"/>
      <c r="AD60" s="224"/>
      <c r="AE60" s="88"/>
      <c r="AF60" s="88"/>
      <c r="AG60" s="86"/>
      <c r="AH60" s="86"/>
      <c r="AI60" s="89"/>
      <c r="AJ60" s="86"/>
      <c r="AK60" s="86"/>
      <c r="AL60" s="86"/>
      <c r="AM60" s="86"/>
      <c r="AN60" s="86"/>
      <c r="AO60" s="86"/>
      <c r="AP60" s="115"/>
      <c r="AQ60" s="116"/>
      <c r="AR60" s="116"/>
      <c r="AS60" s="136"/>
      <c r="AT60" s="116"/>
      <c r="AU60" s="86"/>
      <c r="AV60" s="86"/>
      <c r="AW60" s="86"/>
      <c r="AX60" s="86"/>
      <c r="AY60" s="86"/>
      <c r="AZ60" s="90"/>
      <c r="BA60" s="90"/>
      <c r="BB60" s="86"/>
      <c r="BC60" s="116"/>
      <c r="BD60" s="116"/>
      <c r="BE60" s="116"/>
      <c r="BF60" s="86"/>
      <c r="BG60" s="91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261"/>
      <c r="CG60" s="336">
        <f>IF(OR($E60="",$E60=0),0, ROUND(100/(VLOOKUP($I60,'IPF Formula'!$A$3:$F$10,4,FALSE)-VLOOKUP($I60,'IPF Formula'!$A$3:$F$10,5,FALSE)*EXP(-VLOOKUP($I60,'IPF Formula'!$A$3:$F$10,6,FALSE)*$E60)),6))</f>
        <v>0</v>
      </c>
    </row>
    <row r="61" spans="1:85" s="263" customFormat="1" ht="15" x14ac:dyDescent="0.2">
      <c r="A61" s="84"/>
      <c r="B61" s="85"/>
      <c r="C61" s="84"/>
      <c r="D61" s="88"/>
      <c r="E61" s="88"/>
      <c r="F61" s="201"/>
      <c r="G61" s="88"/>
      <c r="H61" s="216"/>
      <c r="I61" s="220"/>
      <c r="J61" s="202"/>
      <c r="K61" s="88"/>
      <c r="L61" s="203"/>
      <c r="M61" s="203"/>
      <c r="N61" s="201"/>
      <c r="O61" s="202"/>
      <c r="P61" s="88"/>
      <c r="Q61" s="203"/>
      <c r="R61" s="203"/>
      <c r="S61" s="201"/>
      <c r="T61" s="201"/>
      <c r="U61" s="88"/>
      <c r="V61" s="203"/>
      <c r="W61" s="203"/>
      <c r="X61" s="201"/>
      <c r="Y61" s="201"/>
      <c r="Z61" s="87"/>
      <c r="AA61" s="224"/>
      <c r="AB61" s="201"/>
      <c r="AC61" s="335"/>
      <c r="AD61" s="224"/>
      <c r="AE61" s="88"/>
      <c r="AF61" s="88"/>
      <c r="AG61" s="86"/>
      <c r="AH61" s="86"/>
      <c r="AI61" s="89"/>
      <c r="AJ61" s="86"/>
      <c r="AK61" s="86"/>
      <c r="AL61" s="86"/>
      <c r="AM61" s="86"/>
      <c r="AN61" s="86"/>
      <c r="AO61" s="86"/>
      <c r="AP61" s="115"/>
      <c r="AQ61" s="116"/>
      <c r="AR61" s="116"/>
      <c r="AS61" s="136"/>
      <c r="AT61" s="116"/>
      <c r="AU61" s="86"/>
      <c r="AV61" s="86"/>
      <c r="AW61" s="86"/>
      <c r="AX61" s="86"/>
      <c r="AY61" s="86"/>
      <c r="AZ61" s="90"/>
      <c r="BA61" s="90"/>
      <c r="BB61" s="86"/>
      <c r="BC61" s="116"/>
      <c r="BD61" s="116"/>
      <c r="BE61" s="116"/>
      <c r="BF61" s="86"/>
      <c r="BG61" s="91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261"/>
      <c r="CG61" s="336">
        <f>IF(OR($E61="",$E61=0),0, ROUND(100/(VLOOKUP($I61,'IPF Formula'!$A$3:$F$10,4,FALSE)-VLOOKUP($I61,'IPF Formula'!$A$3:$F$10,5,FALSE)*EXP(-VLOOKUP($I61,'IPF Formula'!$A$3:$F$10,6,FALSE)*$E61)),6))</f>
        <v>0</v>
      </c>
    </row>
    <row r="62" spans="1:85" s="263" customFormat="1" ht="15" x14ac:dyDescent="0.2">
      <c r="A62" s="84"/>
      <c r="B62" s="85"/>
      <c r="C62" s="84"/>
      <c r="D62" s="88"/>
      <c r="E62" s="88"/>
      <c r="F62" s="201"/>
      <c r="G62" s="88"/>
      <c r="H62" s="216"/>
      <c r="I62" s="220"/>
      <c r="J62" s="202"/>
      <c r="K62" s="88"/>
      <c r="L62" s="203"/>
      <c r="M62" s="203"/>
      <c r="N62" s="201"/>
      <c r="O62" s="202"/>
      <c r="P62" s="88"/>
      <c r="Q62" s="203"/>
      <c r="R62" s="203"/>
      <c r="S62" s="201"/>
      <c r="T62" s="201"/>
      <c r="U62" s="88"/>
      <c r="V62" s="203"/>
      <c r="W62" s="203"/>
      <c r="X62" s="201"/>
      <c r="Y62" s="201"/>
      <c r="Z62" s="87"/>
      <c r="AA62" s="224"/>
      <c r="AB62" s="201"/>
      <c r="AC62" s="335"/>
      <c r="AD62" s="224"/>
      <c r="AE62" s="88"/>
      <c r="AF62" s="88"/>
      <c r="AG62" s="86"/>
      <c r="AH62" s="86"/>
      <c r="AI62" s="89"/>
      <c r="AJ62" s="86"/>
      <c r="AK62" s="86"/>
      <c r="AL62" s="86"/>
      <c r="AM62" s="86"/>
      <c r="AN62" s="86"/>
      <c r="AO62" s="86"/>
      <c r="AP62" s="115"/>
      <c r="AQ62" s="116"/>
      <c r="AR62" s="116"/>
      <c r="AS62" s="136"/>
      <c r="AT62" s="116"/>
      <c r="AU62" s="86"/>
      <c r="AV62" s="86"/>
      <c r="AW62" s="86"/>
      <c r="AX62" s="86"/>
      <c r="AY62" s="86"/>
      <c r="AZ62" s="90"/>
      <c r="BA62" s="90"/>
      <c r="BB62" s="86"/>
      <c r="BC62" s="116"/>
      <c r="BD62" s="116"/>
      <c r="BE62" s="116"/>
      <c r="BF62" s="86"/>
      <c r="BG62" s="91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261"/>
      <c r="CG62" s="336">
        <f>IF(OR($E62="",$E62=0),0, ROUND(100/(VLOOKUP($I62,'IPF Formula'!$A$3:$F$10,4,FALSE)-VLOOKUP($I62,'IPF Formula'!$A$3:$F$10,5,FALSE)*EXP(-VLOOKUP($I62,'IPF Formula'!$A$3:$F$10,6,FALSE)*$E62)),6))</f>
        <v>0</v>
      </c>
    </row>
    <row r="63" spans="1:85" s="263" customFormat="1" ht="15" x14ac:dyDescent="0.2">
      <c r="A63" s="84"/>
      <c r="B63" s="85"/>
      <c r="C63" s="84"/>
      <c r="D63" s="88"/>
      <c r="E63" s="88"/>
      <c r="F63" s="201"/>
      <c r="G63" s="88"/>
      <c r="H63" s="216"/>
      <c r="I63" s="220"/>
      <c r="J63" s="202"/>
      <c r="K63" s="88"/>
      <c r="L63" s="203"/>
      <c r="M63" s="203"/>
      <c r="N63" s="201"/>
      <c r="O63" s="202"/>
      <c r="P63" s="88"/>
      <c r="Q63" s="203"/>
      <c r="R63" s="203"/>
      <c r="S63" s="201"/>
      <c r="T63" s="201"/>
      <c r="U63" s="88"/>
      <c r="V63" s="203"/>
      <c r="W63" s="203"/>
      <c r="X63" s="201"/>
      <c r="Y63" s="201"/>
      <c r="Z63" s="87"/>
      <c r="AA63" s="224"/>
      <c r="AB63" s="201"/>
      <c r="AC63" s="335"/>
      <c r="AD63" s="224"/>
      <c r="AE63" s="88"/>
      <c r="AF63" s="88"/>
      <c r="AG63" s="86"/>
      <c r="AH63" s="86"/>
      <c r="AI63" s="89"/>
      <c r="AJ63" s="86"/>
      <c r="AK63" s="86"/>
      <c r="AL63" s="86"/>
      <c r="AM63" s="86"/>
      <c r="AN63" s="86"/>
      <c r="AO63" s="86"/>
      <c r="AP63" s="115"/>
      <c r="AQ63" s="116"/>
      <c r="AR63" s="116"/>
      <c r="AS63" s="136"/>
      <c r="AT63" s="116"/>
      <c r="AU63" s="86"/>
      <c r="AV63" s="86"/>
      <c r="AW63" s="86"/>
      <c r="AX63" s="86"/>
      <c r="AY63" s="86"/>
      <c r="AZ63" s="90"/>
      <c r="BA63" s="90"/>
      <c r="BB63" s="86"/>
      <c r="BC63" s="116"/>
      <c r="BD63" s="116"/>
      <c r="BE63" s="116"/>
      <c r="BF63" s="86"/>
      <c r="BG63" s="91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261"/>
      <c r="CG63" s="336">
        <f>IF(OR($E63="",$E63=0),0, ROUND(100/(VLOOKUP($I63,'IPF Formula'!$A$3:$F$10,4,FALSE)-VLOOKUP($I63,'IPF Formula'!$A$3:$F$10,5,FALSE)*EXP(-VLOOKUP($I63,'IPF Formula'!$A$3:$F$10,6,FALSE)*$E63)),6))</f>
        <v>0</v>
      </c>
    </row>
    <row r="64" spans="1:85" s="263" customFormat="1" ht="15" x14ac:dyDescent="0.2">
      <c r="A64" s="84"/>
      <c r="B64" s="85"/>
      <c r="C64" s="84"/>
      <c r="D64" s="88"/>
      <c r="E64" s="88"/>
      <c r="F64" s="201"/>
      <c r="G64" s="88"/>
      <c r="H64" s="216"/>
      <c r="I64" s="220"/>
      <c r="J64" s="202"/>
      <c r="K64" s="88"/>
      <c r="L64" s="203"/>
      <c r="M64" s="203"/>
      <c r="N64" s="201"/>
      <c r="O64" s="202"/>
      <c r="P64" s="88"/>
      <c r="Q64" s="203"/>
      <c r="R64" s="203"/>
      <c r="S64" s="201"/>
      <c r="T64" s="201"/>
      <c r="U64" s="88"/>
      <c r="V64" s="203"/>
      <c r="W64" s="203"/>
      <c r="X64" s="201"/>
      <c r="Y64" s="201"/>
      <c r="Z64" s="87"/>
      <c r="AA64" s="224"/>
      <c r="AB64" s="201"/>
      <c r="AC64" s="335"/>
      <c r="AD64" s="224"/>
      <c r="AE64" s="88"/>
      <c r="AF64" s="88"/>
      <c r="AG64" s="86"/>
      <c r="AH64" s="86"/>
      <c r="AI64" s="89"/>
      <c r="AJ64" s="86"/>
      <c r="AK64" s="86"/>
      <c r="AL64" s="86"/>
      <c r="AM64" s="86"/>
      <c r="AN64" s="86"/>
      <c r="AO64" s="86"/>
      <c r="AP64" s="115"/>
      <c r="AQ64" s="116"/>
      <c r="AR64" s="116"/>
      <c r="AS64" s="136"/>
      <c r="AT64" s="116"/>
      <c r="AU64" s="86"/>
      <c r="AV64" s="86"/>
      <c r="AW64" s="86"/>
      <c r="AX64" s="86"/>
      <c r="AY64" s="86"/>
      <c r="AZ64" s="90"/>
      <c r="BA64" s="90"/>
      <c r="BB64" s="86"/>
      <c r="BC64" s="116"/>
      <c r="BD64" s="116"/>
      <c r="BE64" s="116"/>
      <c r="BF64" s="86"/>
      <c r="BG64" s="91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261"/>
      <c r="CG64" s="336">
        <f>IF(OR($E64="",$E64=0),0, ROUND(100/(VLOOKUP($I64,'IPF Formula'!$A$3:$F$10,4,FALSE)-VLOOKUP($I64,'IPF Formula'!$A$3:$F$10,5,FALSE)*EXP(-VLOOKUP($I64,'IPF Formula'!$A$3:$F$10,6,FALSE)*$E64)),6))</f>
        <v>0</v>
      </c>
    </row>
    <row r="65" spans="1:85" s="263" customFormat="1" ht="15" x14ac:dyDescent="0.2">
      <c r="A65" s="84"/>
      <c r="B65" s="85"/>
      <c r="C65" s="84"/>
      <c r="D65" s="88"/>
      <c r="E65" s="88"/>
      <c r="F65" s="201"/>
      <c r="G65" s="88"/>
      <c r="H65" s="216"/>
      <c r="I65" s="220"/>
      <c r="J65" s="202"/>
      <c r="K65" s="88"/>
      <c r="L65" s="203"/>
      <c r="M65" s="203"/>
      <c r="N65" s="201"/>
      <c r="O65" s="202"/>
      <c r="P65" s="88"/>
      <c r="Q65" s="203"/>
      <c r="R65" s="203"/>
      <c r="S65" s="201"/>
      <c r="T65" s="201"/>
      <c r="U65" s="88"/>
      <c r="V65" s="203"/>
      <c r="W65" s="203"/>
      <c r="X65" s="201"/>
      <c r="Y65" s="201"/>
      <c r="Z65" s="87"/>
      <c r="AA65" s="224"/>
      <c r="AB65" s="201"/>
      <c r="AC65" s="335"/>
      <c r="AD65" s="224"/>
      <c r="AE65" s="88"/>
      <c r="AF65" s="88"/>
      <c r="AG65" s="86"/>
      <c r="AH65" s="86"/>
      <c r="AI65" s="89"/>
      <c r="AJ65" s="86"/>
      <c r="AK65" s="86"/>
      <c r="AL65" s="86"/>
      <c r="AM65" s="86"/>
      <c r="AN65" s="86"/>
      <c r="AO65" s="86"/>
      <c r="AP65" s="115"/>
      <c r="AQ65" s="116"/>
      <c r="AR65" s="116"/>
      <c r="AS65" s="136"/>
      <c r="AT65" s="116"/>
      <c r="AU65" s="86"/>
      <c r="AV65" s="86"/>
      <c r="AW65" s="86"/>
      <c r="AX65" s="86"/>
      <c r="AY65" s="86"/>
      <c r="AZ65" s="90"/>
      <c r="BA65" s="90"/>
      <c r="BB65" s="86"/>
      <c r="BC65" s="116"/>
      <c r="BD65" s="116"/>
      <c r="BE65" s="116"/>
      <c r="BF65" s="86"/>
      <c r="BG65" s="91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261"/>
      <c r="CG65" s="336">
        <f>IF(OR($E65="",$E65=0),0, ROUND(100/(VLOOKUP($I65,'IPF Formula'!$A$3:$F$10,4,FALSE)-VLOOKUP($I65,'IPF Formula'!$A$3:$F$10,5,FALSE)*EXP(-VLOOKUP($I65,'IPF Formula'!$A$3:$F$10,6,FALSE)*$E65)),6))</f>
        <v>0</v>
      </c>
    </row>
    <row r="66" spans="1:85" s="263" customFormat="1" ht="15" x14ac:dyDescent="0.2">
      <c r="A66" s="84"/>
      <c r="B66" s="85"/>
      <c r="C66" s="84"/>
      <c r="D66" s="88"/>
      <c r="E66" s="88"/>
      <c r="F66" s="201"/>
      <c r="G66" s="88"/>
      <c r="H66" s="216"/>
      <c r="I66" s="220"/>
      <c r="J66" s="202"/>
      <c r="K66" s="88"/>
      <c r="L66" s="203"/>
      <c r="M66" s="203"/>
      <c r="N66" s="201"/>
      <c r="O66" s="202"/>
      <c r="P66" s="88"/>
      <c r="Q66" s="203"/>
      <c r="R66" s="203"/>
      <c r="S66" s="201"/>
      <c r="T66" s="201"/>
      <c r="U66" s="88"/>
      <c r="V66" s="203"/>
      <c r="W66" s="203"/>
      <c r="X66" s="201"/>
      <c r="Y66" s="201"/>
      <c r="Z66" s="87"/>
      <c r="AA66" s="224"/>
      <c r="AB66" s="201"/>
      <c r="AC66" s="335"/>
      <c r="AD66" s="224"/>
      <c r="AE66" s="88"/>
      <c r="AF66" s="88"/>
      <c r="AG66" s="86"/>
      <c r="AH66" s="86"/>
      <c r="AI66" s="89"/>
      <c r="AJ66" s="86"/>
      <c r="AK66" s="86"/>
      <c r="AL66" s="86"/>
      <c r="AM66" s="86"/>
      <c r="AN66" s="86"/>
      <c r="AO66" s="86"/>
      <c r="AP66" s="115"/>
      <c r="AQ66" s="116"/>
      <c r="AR66" s="116"/>
      <c r="AS66" s="136"/>
      <c r="AT66" s="116"/>
      <c r="AU66" s="86"/>
      <c r="AV66" s="86"/>
      <c r="AW66" s="86"/>
      <c r="AX66" s="86"/>
      <c r="AY66" s="86"/>
      <c r="AZ66" s="90"/>
      <c r="BA66" s="90"/>
      <c r="BB66" s="86"/>
      <c r="BC66" s="116"/>
      <c r="BD66" s="116"/>
      <c r="BE66" s="116"/>
      <c r="BF66" s="86"/>
      <c r="BG66" s="91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261"/>
      <c r="CG66" s="336">
        <f>IF(OR($E66="",$E66=0),0, ROUND(100/(VLOOKUP($I66,'IPF Formula'!$A$3:$F$10,4,FALSE)-VLOOKUP($I66,'IPF Formula'!$A$3:$F$10,5,FALSE)*EXP(-VLOOKUP($I66,'IPF Formula'!$A$3:$F$10,6,FALSE)*$E66)),6))</f>
        <v>0</v>
      </c>
    </row>
    <row r="67" spans="1:85" s="263" customFormat="1" ht="15" x14ac:dyDescent="0.2">
      <c r="A67" s="84"/>
      <c r="B67" s="85"/>
      <c r="C67" s="84"/>
      <c r="D67" s="88"/>
      <c r="E67" s="88"/>
      <c r="F67" s="201"/>
      <c r="G67" s="88"/>
      <c r="H67" s="216"/>
      <c r="I67" s="220"/>
      <c r="J67" s="202"/>
      <c r="K67" s="88"/>
      <c r="L67" s="203"/>
      <c r="M67" s="203"/>
      <c r="N67" s="201"/>
      <c r="O67" s="202"/>
      <c r="P67" s="88"/>
      <c r="Q67" s="203"/>
      <c r="R67" s="203"/>
      <c r="S67" s="201"/>
      <c r="T67" s="201"/>
      <c r="U67" s="88"/>
      <c r="V67" s="203"/>
      <c r="W67" s="203"/>
      <c r="X67" s="201"/>
      <c r="Y67" s="201"/>
      <c r="Z67" s="87"/>
      <c r="AA67" s="224"/>
      <c r="AB67" s="201"/>
      <c r="AC67" s="335"/>
      <c r="AD67" s="224"/>
      <c r="AE67" s="88"/>
      <c r="AF67" s="88"/>
      <c r="AG67" s="86"/>
      <c r="AH67" s="86"/>
      <c r="AI67" s="89"/>
      <c r="AJ67" s="86"/>
      <c r="AK67" s="86"/>
      <c r="AL67" s="86"/>
      <c r="AM67" s="86"/>
      <c r="AN67" s="86"/>
      <c r="AO67" s="86"/>
      <c r="AP67" s="115"/>
      <c r="AQ67" s="116"/>
      <c r="AR67" s="116"/>
      <c r="AS67" s="136"/>
      <c r="AT67" s="116"/>
      <c r="AU67" s="86"/>
      <c r="AV67" s="86"/>
      <c r="AW67" s="86"/>
      <c r="AX67" s="86"/>
      <c r="AY67" s="86"/>
      <c r="AZ67" s="90"/>
      <c r="BA67" s="90"/>
      <c r="BB67" s="86"/>
      <c r="BC67" s="116"/>
      <c r="BD67" s="116"/>
      <c r="BE67" s="116"/>
      <c r="BF67" s="86"/>
      <c r="BG67" s="91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261"/>
      <c r="CG67" s="336">
        <f>IF(OR($E67="",$E67=0),0, ROUND(100/(VLOOKUP($I67,'IPF Formula'!$A$3:$F$10,4,FALSE)-VLOOKUP($I67,'IPF Formula'!$A$3:$F$10,5,FALSE)*EXP(-VLOOKUP($I67,'IPF Formula'!$A$3:$F$10,6,FALSE)*$E67)),6))</f>
        <v>0</v>
      </c>
    </row>
    <row r="68" spans="1:85" s="263" customFormat="1" ht="15" x14ac:dyDescent="0.2">
      <c r="A68" s="84"/>
      <c r="B68" s="85"/>
      <c r="C68" s="84"/>
      <c r="D68" s="88"/>
      <c r="E68" s="88"/>
      <c r="F68" s="201"/>
      <c r="G68" s="88"/>
      <c r="H68" s="216"/>
      <c r="I68" s="220"/>
      <c r="J68" s="202"/>
      <c r="K68" s="88"/>
      <c r="L68" s="203"/>
      <c r="M68" s="203"/>
      <c r="N68" s="201"/>
      <c r="O68" s="202"/>
      <c r="P68" s="88"/>
      <c r="Q68" s="203"/>
      <c r="R68" s="203"/>
      <c r="S68" s="201"/>
      <c r="T68" s="201"/>
      <c r="U68" s="88"/>
      <c r="V68" s="203"/>
      <c r="W68" s="203"/>
      <c r="X68" s="201"/>
      <c r="Y68" s="201"/>
      <c r="Z68" s="87"/>
      <c r="AA68" s="224"/>
      <c r="AB68" s="201"/>
      <c r="AC68" s="335"/>
      <c r="AD68" s="224"/>
      <c r="AE68" s="88"/>
      <c r="AF68" s="88"/>
      <c r="AG68" s="86"/>
      <c r="AH68" s="86"/>
      <c r="AI68" s="89"/>
      <c r="AJ68" s="86"/>
      <c r="AK68" s="86"/>
      <c r="AL68" s="86"/>
      <c r="AM68" s="86"/>
      <c r="AN68" s="86"/>
      <c r="AO68" s="86"/>
      <c r="AP68" s="115"/>
      <c r="AQ68" s="116"/>
      <c r="AR68" s="116"/>
      <c r="AS68" s="136"/>
      <c r="AT68" s="116"/>
      <c r="AU68" s="86"/>
      <c r="AV68" s="86"/>
      <c r="AW68" s="86"/>
      <c r="AX68" s="86"/>
      <c r="AY68" s="86"/>
      <c r="AZ68" s="90"/>
      <c r="BA68" s="90"/>
      <c r="BB68" s="86"/>
      <c r="BC68" s="116"/>
      <c r="BD68" s="116"/>
      <c r="BE68" s="116"/>
      <c r="BF68" s="86"/>
      <c r="BG68" s="91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261"/>
      <c r="CG68" s="336">
        <f>IF(OR($E68="",$E68=0),0, ROUND(100/(VLOOKUP($I68,'IPF Formula'!$A$3:$F$10,4,FALSE)-VLOOKUP($I68,'IPF Formula'!$A$3:$F$10,5,FALSE)*EXP(-VLOOKUP($I68,'IPF Formula'!$A$3:$F$10,6,FALSE)*$E68)),6))</f>
        <v>0</v>
      </c>
    </row>
    <row r="69" spans="1:85" s="263" customFormat="1" ht="15" x14ac:dyDescent="0.2">
      <c r="A69" s="84"/>
      <c r="B69" s="85"/>
      <c r="C69" s="84"/>
      <c r="D69" s="88"/>
      <c r="E69" s="88"/>
      <c r="F69" s="201"/>
      <c r="G69" s="88"/>
      <c r="H69" s="216"/>
      <c r="I69" s="220"/>
      <c r="J69" s="202"/>
      <c r="K69" s="88"/>
      <c r="L69" s="203"/>
      <c r="M69" s="203"/>
      <c r="N69" s="201"/>
      <c r="O69" s="202"/>
      <c r="P69" s="88"/>
      <c r="Q69" s="203"/>
      <c r="R69" s="203"/>
      <c r="S69" s="201"/>
      <c r="T69" s="201"/>
      <c r="U69" s="88"/>
      <c r="V69" s="203"/>
      <c r="W69" s="203"/>
      <c r="X69" s="201"/>
      <c r="Y69" s="201"/>
      <c r="Z69" s="87"/>
      <c r="AA69" s="224"/>
      <c r="AB69" s="201"/>
      <c r="AC69" s="335"/>
      <c r="AD69" s="224"/>
      <c r="AE69" s="88"/>
      <c r="AF69" s="88"/>
      <c r="AG69" s="86"/>
      <c r="AH69" s="86"/>
      <c r="AI69" s="89"/>
      <c r="AJ69" s="86"/>
      <c r="AK69" s="86"/>
      <c r="AL69" s="86"/>
      <c r="AM69" s="86"/>
      <c r="AN69" s="86"/>
      <c r="AO69" s="86"/>
      <c r="AP69" s="115"/>
      <c r="AQ69" s="116"/>
      <c r="AR69" s="116"/>
      <c r="AS69" s="136"/>
      <c r="AT69" s="116"/>
      <c r="AU69" s="86"/>
      <c r="AV69" s="86"/>
      <c r="AW69" s="86"/>
      <c r="AX69" s="86"/>
      <c r="AY69" s="86"/>
      <c r="AZ69" s="90"/>
      <c r="BA69" s="90"/>
      <c r="BB69" s="86"/>
      <c r="BC69" s="116"/>
      <c r="BD69" s="116"/>
      <c r="BE69" s="116"/>
      <c r="BF69" s="86"/>
      <c r="BG69" s="91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261"/>
      <c r="CG69" s="336">
        <f>IF(OR($E69="",$E69=0),0, ROUND(100/(VLOOKUP($I69,'IPF Formula'!$A$3:$F$10,4,FALSE)-VLOOKUP($I69,'IPF Formula'!$A$3:$F$10,5,FALSE)*EXP(-VLOOKUP($I69,'IPF Formula'!$A$3:$F$10,6,FALSE)*$E69)),6))</f>
        <v>0</v>
      </c>
    </row>
    <row r="70" spans="1:85" s="263" customFormat="1" ht="15" x14ac:dyDescent="0.2">
      <c r="A70" s="84"/>
      <c r="B70" s="85"/>
      <c r="C70" s="84"/>
      <c r="D70" s="88"/>
      <c r="E70" s="88"/>
      <c r="F70" s="201"/>
      <c r="G70" s="88"/>
      <c r="H70" s="216"/>
      <c r="I70" s="220"/>
      <c r="J70" s="202"/>
      <c r="K70" s="88"/>
      <c r="L70" s="203"/>
      <c r="M70" s="203"/>
      <c r="N70" s="201"/>
      <c r="O70" s="202"/>
      <c r="P70" s="88"/>
      <c r="Q70" s="203"/>
      <c r="R70" s="203"/>
      <c r="S70" s="201"/>
      <c r="T70" s="201"/>
      <c r="U70" s="88"/>
      <c r="V70" s="203"/>
      <c r="W70" s="203"/>
      <c r="X70" s="201"/>
      <c r="Y70" s="201"/>
      <c r="Z70" s="87"/>
      <c r="AA70" s="224"/>
      <c r="AB70" s="201"/>
      <c r="AC70" s="335"/>
      <c r="AD70" s="224"/>
      <c r="AE70" s="88"/>
      <c r="AF70" s="88"/>
      <c r="AG70" s="86"/>
      <c r="AH70" s="86"/>
      <c r="AI70" s="89"/>
      <c r="AJ70" s="86"/>
      <c r="AK70" s="86"/>
      <c r="AL70" s="86"/>
      <c r="AM70" s="86"/>
      <c r="AN70" s="86"/>
      <c r="AO70" s="86"/>
      <c r="AP70" s="115"/>
      <c r="AQ70" s="116"/>
      <c r="AR70" s="116"/>
      <c r="AS70" s="136"/>
      <c r="AT70" s="116"/>
      <c r="AU70" s="86"/>
      <c r="AV70" s="86"/>
      <c r="AW70" s="86"/>
      <c r="AX70" s="86"/>
      <c r="AY70" s="86"/>
      <c r="AZ70" s="90"/>
      <c r="BA70" s="90"/>
      <c r="BB70" s="86"/>
      <c r="BC70" s="116"/>
      <c r="BD70" s="116"/>
      <c r="BE70" s="116"/>
      <c r="BF70" s="86"/>
      <c r="BG70" s="91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261"/>
      <c r="CG70" s="336">
        <f>IF(OR($E70="",$E70=0),0, ROUND(100/(VLOOKUP($I70,'IPF Formula'!$A$3:$F$10,4,FALSE)-VLOOKUP($I70,'IPF Formula'!$A$3:$F$10,5,FALSE)*EXP(-VLOOKUP($I70,'IPF Formula'!$A$3:$F$10,6,FALSE)*$E70)),6))</f>
        <v>0</v>
      </c>
    </row>
    <row r="71" spans="1:85" s="263" customFormat="1" ht="15" x14ac:dyDescent="0.2">
      <c r="A71" s="84"/>
      <c r="B71" s="85"/>
      <c r="C71" s="84"/>
      <c r="D71" s="88"/>
      <c r="E71" s="88"/>
      <c r="F71" s="201"/>
      <c r="G71" s="88"/>
      <c r="H71" s="216"/>
      <c r="I71" s="220"/>
      <c r="J71" s="202"/>
      <c r="K71" s="88"/>
      <c r="L71" s="203"/>
      <c r="M71" s="203"/>
      <c r="N71" s="201"/>
      <c r="O71" s="202"/>
      <c r="P71" s="88"/>
      <c r="Q71" s="203"/>
      <c r="R71" s="203"/>
      <c r="S71" s="201"/>
      <c r="T71" s="201"/>
      <c r="U71" s="88"/>
      <c r="V71" s="203"/>
      <c r="W71" s="203"/>
      <c r="X71" s="201"/>
      <c r="Y71" s="201"/>
      <c r="Z71" s="87"/>
      <c r="AA71" s="224"/>
      <c r="AB71" s="201"/>
      <c r="AC71" s="335"/>
      <c r="AD71" s="224"/>
      <c r="AE71" s="88"/>
      <c r="AF71" s="88"/>
      <c r="AG71" s="86"/>
      <c r="AH71" s="86"/>
      <c r="AI71" s="89"/>
      <c r="AJ71" s="86"/>
      <c r="AK71" s="86"/>
      <c r="AL71" s="86"/>
      <c r="AM71" s="86"/>
      <c r="AN71" s="86"/>
      <c r="AO71" s="86"/>
      <c r="AP71" s="115"/>
      <c r="AQ71" s="116"/>
      <c r="AR71" s="116"/>
      <c r="AS71" s="136"/>
      <c r="AT71" s="116"/>
      <c r="AU71" s="86"/>
      <c r="AV71" s="86"/>
      <c r="AW71" s="86"/>
      <c r="AX71" s="86"/>
      <c r="AY71" s="86"/>
      <c r="AZ71" s="90"/>
      <c r="BA71" s="90"/>
      <c r="BB71" s="86"/>
      <c r="BC71" s="116"/>
      <c r="BD71" s="116"/>
      <c r="BE71" s="116"/>
      <c r="BF71" s="86"/>
      <c r="BG71" s="91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261"/>
      <c r="CG71" s="336">
        <f>IF(OR($E71="",$E71=0),0, ROUND(100/(VLOOKUP($I71,'IPF Formula'!$A$3:$F$10,4,FALSE)-VLOOKUP($I71,'IPF Formula'!$A$3:$F$10,5,FALSE)*EXP(-VLOOKUP($I71,'IPF Formula'!$A$3:$F$10,6,FALSE)*$E71)),6))</f>
        <v>0</v>
      </c>
    </row>
    <row r="72" spans="1:85" s="263" customFormat="1" ht="15" x14ac:dyDescent="0.2">
      <c r="A72" s="84"/>
      <c r="B72" s="85"/>
      <c r="C72" s="84"/>
      <c r="D72" s="88"/>
      <c r="E72" s="88"/>
      <c r="F72" s="201"/>
      <c r="G72" s="88"/>
      <c r="H72" s="216"/>
      <c r="I72" s="220"/>
      <c r="J72" s="202"/>
      <c r="K72" s="88"/>
      <c r="L72" s="203"/>
      <c r="M72" s="203"/>
      <c r="N72" s="201"/>
      <c r="O72" s="202"/>
      <c r="P72" s="88"/>
      <c r="Q72" s="203"/>
      <c r="R72" s="203"/>
      <c r="S72" s="201"/>
      <c r="T72" s="201"/>
      <c r="U72" s="88"/>
      <c r="V72" s="203"/>
      <c r="W72" s="203"/>
      <c r="X72" s="201"/>
      <c r="Y72" s="201"/>
      <c r="Z72" s="87"/>
      <c r="AA72" s="224"/>
      <c r="AB72" s="201"/>
      <c r="AC72" s="335"/>
      <c r="AD72" s="224"/>
      <c r="AE72" s="88"/>
      <c r="AF72" s="88"/>
      <c r="AG72" s="86"/>
      <c r="AH72" s="86"/>
      <c r="AI72" s="89"/>
      <c r="AJ72" s="86"/>
      <c r="AK72" s="86"/>
      <c r="AL72" s="86"/>
      <c r="AM72" s="86"/>
      <c r="AN72" s="86"/>
      <c r="AO72" s="86"/>
      <c r="AP72" s="115"/>
      <c r="AQ72" s="116"/>
      <c r="AR72" s="116"/>
      <c r="AS72" s="136"/>
      <c r="AT72" s="116"/>
      <c r="AU72" s="86"/>
      <c r="AV72" s="86"/>
      <c r="AW72" s="86"/>
      <c r="AX72" s="86"/>
      <c r="AY72" s="86"/>
      <c r="AZ72" s="90"/>
      <c r="BA72" s="90"/>
      <c r="BB72" s="86"/>
      <c r="BC72" s="116"/>
      <c r="BD72" s="116"/>
      <c r="BE72" s="116"/>
      <c r="BF72" s="86"/>
      <c r="BG72" s="91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261"/>
      <c r="CG72" s="336">
        <f>IF(OR($E72="",$E72=0),0, ROUND(100/(VLOOKUP($I72,'IPF Formula'!$A$3:$F$10,4,FALSE)-VLOOKUP($I72,'IPF Formula'!$A$3:$F$10,5,FALSE)*EXP(-VLOOKUP($I72,'IPF Formula'!$A$3:$F$10,6,FALSE)*$E72)),6))</f>
        <v>0</v>
      </c>
    </row>
    <row r="73" spans="1:85" s="263" customFormat="1" ht="15" x14ac:dyDescent="0.2">
      <c r="A73" s="84"/>
      <c r="B73" s="85"/>
      <c r="C73" s="84"/>
      <c r="D73" s="88"/>
      <c r="E73" s="88"/>
      <c r="F73" s="201"/>
      <c r="G73" s="88"/>
      <c r="H73" s="216"/>
      <c r="I73" s="220"/>
      <c r="J73" s="202"/>
      <c r="K73" s="88"/>
      <c r="L73" s="203"/>
      <c r="M73" s="203"/>
      <c r="N73" s="201"/>
      <c r="O73" s="202"/>
      <c r="P73" s="88"/>
      <c r="Q73" s="203"/>
      <c r="R73" s="203"/>
      <c r="S73" s="201"/>
      <c r="T73" s="201"/>
      <c r="U73" s="88"/>
      <c r="V73" s="203"/>
      <c r="W73" s="203"/>
      <c r="X73" s="201"/>
      <c r="Y73" s="201"/>
      <c r="Z73" s="87"/>
      <c r="AA73" s="224"/>
      <c r="AB73" s="201"/>
      <c r="AC73" s="335"/>
      <c r="AD73" s="224"/>
      <c r="AE73" s="88"/>
      <c r="AF73" s="88"/>
      <c r="AG73" s="86"/>
      <c r="AH73" s="86"/>
      <c r="AI73" s="89"/>
      <c r="AJ73" s="86"/>
      <c r="AK73" s="86"/>
      <c r="AL73" s="86"/>
      <c r="AM73" s="86"/>
      <c r="AN73" s="86"/>
      <c r="AO73" s="86"/>
      <c r="AP73" s="115"/>
      <c r="AQ73" s="116"/>
      <c r="AR73" s="116"/>
      <c r="AS73" s="136"/>
      <c r="AT73" s="116"/>
      <c r="AU73" s="86"/>
      <c r="AV73" s="86"/>
      <c r="AW73" s="86"/>
      <c r="AX73" s="86"/>
      <c r="AY73" s="86"/>
      <c r="AZ73" s="90"/>
      <c r="BA73" s="90"/>
      <c r="BB73" s="86"/>
      <c r="BC73" s="116"/>
      <c r="BD73" s="116"/>
      <c r="BE73" s="116"/>
      <c r="BF73" s="86"/>
      <c r="BG73" s="91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261"/>
      <c r="CG73" s="336">
        <f>IF(OR($E73="",$E73=0),0, ROUND(100/(VLOOKUP($I73,'IPF Formula'!$A$3:$F$10,4,FALSE)-VLOOKUP($I73,'IPF Formula'!$A$3:$F$10,5,FALSE)*EXP(-VLOOKUP($I73,'IPF Formula'!$A$3:$F$10,6,FALSE)*$E73)),6))</f>
        <v>0</v>
      </c>
    </row>
    <row r="74" spans="1:85" s="263" customFormat="1" ht="15" x14ac:dyDescent="0.2">
      <c r="A74" s="84"/>
      <c r="B74" s="85"/>
      <c r="C74" s="84"/>
      <c r="D74" s="88"/>
      <c r="E74" s="88"/>
      <c r="F74" s="201"/>
      <c r="G74" s="88"/>
      <c r="H74" s="216"/>
      <c r="I74" s="220"/>
      <c r="J74" s="202"/>
      <c r="K74" s="88"/>
      <c r="L74" s="203"/>
      <c r="M74" s="203"/>
      <c r="N74" s="201"/>
      <c r="O74" s="202"/>
      <c r="P74" s="88"/>
      <c r="Q74" s="203"/>
      <c r="R74" s="203"/>
      <c r="S74" s="201"/>
      <c r="T74" s="201"/>
      <c r="U74" s="88"/>
      <c r="V74" s="203"/>
      <c r="W74" s="203"/>
      <c r="X74" s="201"/>
      <c r="Y74" s="201"/>
      <c r="Z74" s="87"/>
      <c r="AA74" s="224"/>
      <c r="AB74" s="201"/>
      <c r="AC74" s="335"/>
      <c r="AD74" s="224"/>
      <c r="AE74" s="88"/>
      <c r="AF74" s="88"/>
      <c r="AG74" s="86"/>
      <c r="AH74" s="86"/>
      <c r="AI74" s="89"/>
      <c r="AJ74" s="86"/>
      <c r="AK74" s="86"/>
      <c r="AL74" s="86"/>
      <c r="AM74" s="86"/>
      <c r="AN74" s="86"/>
      <c r="AO74" s="86"/>
      <c r="AP74" s="115"/>
      <c r="AQ74" s="116"/>
      <c r="AR74" s="116"/>
      <c r="AS74" s="136"/>
      <c r="AT74" s="116"/>
      <c r="AU74" s="86"/>
      <c r="AV74" s="86"/>
      <c r="AW74" s="86"/>
      <c r="AX74" s="86"/>
      <c r="AY74" s="86"/>
      <c r="AZ74" s="90"/>
      <c r="BA74" s="90"/>
      <c r="BB74" s="86"/>
      <c r="BC74" s="116"/>
      <c r="BD74" s="116"/>
      <c r="BE74" s="116"/>
      <c r="BF74" s="86"/>
      <c r="BG74" s="91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261"/>
      <c r="CG74" s="336">
        <f>IF(OR($E74="",$E74=0),0, ROUND(100/(VLOOKUP($I74,'IPF Formula'!$A$3:$F$10,4,FALSE)-VLOOKUP($I74,'IPF Formula'!$A$3:$F$10,5,FALSE)*EXP(-VLOOKUP($I74,'IPF Formula'!$A$3:$F$10,6,FALSE)*$E74)),6))</f>
        <v>0</v>
      </c>
    </row>
    <row r="75" spans="1:85" s="263" customFormat="1" ht="15" x14ac:dyDescent="0.2">
      <c r="A75" s="84"/>
      <c r="B75" s="85"/>
      <c r="C75" s="84"/>
      <c r="D75" s="88"/>
      <c r="E75" s="88"/>
      <c r="F75" s="201"/>
      <c r="G75" s="88"/>
      <c r="H75" s="216"/>
      <c r="I75" s="220"/>
      <c r="J75" s="202"/>
      <c r="K75" s="88"/>
      <c r="L75" s="203"/>
      <c r="M75" s="203"/>
      <c r="N75" s="201"/>
      <c r="O75" s="202"/>
      <c r="P75" s="88"/>
      <c r="Q75" s="203"/>
      <c r="R75" s="203"/>
      <c r="S75" s="201"/>
      <c r="T75" s="201"/>
      <c r="U75" s="88"/>
      <c r="V75" s="203"/>
      <c r="W75" s="203"/>
      <c r="X75" s="201"/>
      <c r="Y75" s="201"/>
      <c r="Z75" s="87"/>
      <c r="AA75" s="224"/>
      <c r="AB75" s="201"/>
      <c r="AC75" s="335"/>
      <c r="AD75" s="224"/>
      <c r="AE75" s="88"/>
      <c r="AF75" s="88"/>
      <c r="AG75" s="86"/>
      <c r="AH75" s="86"/>
      <c r="AI75" s="89"/>
      <c r="AJ75" s="86"/>
      <c r="AK75" s="86"/>
      <c r="AL75" s="86"/>
      <c r="AM75" s="86"/>
      <c r="AN75" s="86"/>
      <c r="AO75" s="86"/>
      <c r="AP75" s="115"/>
      <c r="AQ75" s="116"/>
      <c r="AR75" s="116"/>
      <c r="AS75" s="136"/>
      <c r="AT75" s="116"/>
      <c r="AU75" s="86"/>
      <c r="AV75" s="86"/>
      <c r="AW75" s="86"/>
      <c r="AX75" s="86"/>
      <c r="AY75" s="86"/>
      <c r="AZ75" s="90"/>
      <c r="BA75" s="90"/>
      <c r="BB75" s="86"/>
      <c r="BC75" s="116"/>
      <c r="BD75" s="116"/>
      <c r="BE75" s="116"/>
      <c r="BF75" s="86"/>
      <c r="BG75" s="91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261"/>
      <c r="CG75" s="336">
        <f>IF(OR($E75="",$E75=0),0, ROUND(100/(VLOOKUP($I75,'IPF Formula'!$A$3:$F$10,4,FALSE)-VLOOKUP($I75,'IPF Formula'!$A$3:$F$10,5,FALSE)*EXP(-VLOOKUP($I75,'IPF Formula'!$A$3:$F$10,6,FALSE)*$E75)),6))</f>
        <v>0</v>
      </c>
    </row>
    <row r="76" spans="1:85" s="263" customFormat="1" ht="15" x14ac:dyDescent="0.2">
      <c r="A76" s="84"/>
      <c r="B76" s="85"/>
      <c r="C76" s="84"/>
      <c r="D76" s="88"/>
      <c r="E76" s="88"/>
      <c r="F76" s="201"/>
      <c r="G76" s="88"/>
      <c r="H76" s="216"/>
      <c r="I76" s="220"/>
      <c r="J76" s="202"/>
      <c r="K76" s="88"/>
      <c r="L76" s="203"/>
      <c r="M76" s="203"/>
      <c r="N76" s="201"/>
      <c r="O76" s="202"/>
      <c r="P76" s="88"/>
      <c r="Q76" s="203"/>
      <c r="R76" s="203"/>
      <c r="S76" s="201"/>
      <c r="T76" s="201"/>
      <c r="U76" s="88"/>
      <c r="V76" s="203"/>
      <c r="W76" s="203"/>
      <c r="X76" s="201"/>
      <c r="Y76" s="201"/>
      <c r="Z76" s="87"/>
      <c r="AA76" s="224"/>
      <c r="AB76" s="201"/>
      <c r="AC76" s="335"/>
      <c r="AD76" s="224"/>
      <c r="AE76" s="88"/>
      <c r="AF76" s="88"/>
      <c r="AG76" s="86"/>
      <c r="AH76" s="86"/>
      <c r="AI76" s="89"/>
      <c r="AJ76" s="86"/>
      <c r="AK76" s="86"/>
      <c r="AL76" s="86"/>
      <c r="AM76" s="86"/>
      <c r="AN76" s="86"/>
      <c r="AO76" s="86"/>
      <c r="AP76" s="115"/>
      <c r="AQ76" s="116"/>
      <c r="AR76" s="116"/>
      <c r="AS76" s="136"/>
      <c r="AT76" s="116"/>
      <c r="AU76" s="86"/>
      <c r="AV76" s="86"/>
      <c r="AW76" s="86"/>
      <c r="AX76" s="86"/>
      <c r="AY76" s="86"/>
      <c r="AZ76" s="90"/>
      <c r="BA76" s="90"/>
      <c r="BB76" s="86"/>
      <c r="BC76" s="116"/>
      <c r="BD76" s="116"/>
      <c r="BE76" s="116"/>
      <c r="BF76" s="86"/>
      <c r="BG76" s="91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261"/>
      <c r="CG76" s="336">
        <f>IF(OR($E76="",$E76=0),0, ROUND(100/(VLOOKUP($I76,'IPF Formula'!$A$3:$F$10,4,FALSE)-VLOOKUP($I76,'IPF Formula'!$A$3:$F$10,5,FALSE)*EXP(-VLOOKUP($I76,'IPF Formula'!$A$3:$F$10,6,FALSE)*$E76)),6))</f>
        <v>0</v>
      </c>
    </row>
    <row r="77" spans="1:85" s="263" customFormat="1" ht="15" x14ac:dyDescent="0.2">
      <c r="A77" s="84"/>
      <c r="B77" s="85"/>
      <c r="C77" s="84"/>
      <c r="D77" s="88"/>
      <c r="E77" s="88"/>
      <c r="F77" s="201"/>
      <c r="G77" s="88"/>
      <c r="H77" s="216"/>
      <c r="I77" s="220"/>
      <c r="J77" s="202"/>
      <c r="K77" s="88"/>
      <c r="L77" s="203"/>
      <c r="M77" s="203"/>
      <c r="N77" s="201"/>
      <c r="O77" s="202"/>
      <c r="P77" s="88"/>
      <c r="Q77" s="203"/>
      <c r="R77" s="203"/>
      <c r="S77" s="201"/>
      <c r="T77" s="201"/>
      <c r="U77" s="88"/>
      <c r="V77" s="203"/>
      <c r="W77" s="203"/>
      <c r="X77" s="201"/>
      <c r="Y77" s="201"/>
      <c r="Z77" s="87"/>
      <c r="AA77" s="224"/>
      <c r="AB77" s="201"/>
      <c r="AC77" s="335"/>
      <c r="AD77" s="224"/>
      <c r="AE77" s="88"/>
      <c r="AF77" s="88"/>
      <c r="AG77" s="86"/>
      <c r="AH77" s="86"/>
      <c r="AI77" s="89"/>
      <c r="AJ77" s="86"/>
      <c r="AK77" s="86"/>
      <c r="AL77" s="86"/>
      <c r="AM77" s="86"/>
      <c r="AN77" s="86"/>
      <c r="AO77" s="86"/>
      <c r="AP77" s="115"/>
      <c r="AQ77" s="116"/>
      <c r="AR77" s="116"/>
      <c r="AS77" s="136"/>
      <c r="AT77" s="116"/>
      <c r="AU77" s="86"/>
      <c r="AV77" s="86"/>
      <c r="AW77" s="86"/>
      <c r="AX77" s="86"/>
      <c r="AY77" s="86"/>
      <c r="AZ77" s="90"/>
      <c r="BA77" s="90"/>
      <c r="BB77" s="86"/>
      <c r="BC77" s="116"/>
      <c r="BD77" s="116"/>
      <c r="BE77" s="116"/>
      <c r="BF77" s="86"/>
      <c r="BG77" s="91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261"/>
      <c r="CG77" s="336">
        <f>IF(OR($E77="",$E77=0),0, ROUND(100/(VLOOKUP($I77,'IPF Formula'!$A$3:$F$10,4,FALSE)-VLOOKUP($I77,'IPF Formula'!$A$3:$F$10,5,FALSE)*EXP(-VLOOKUP($I77,'IPF Formula'!$A$3:$F$10,6,FALSE)*$E77)),6))</f>
        <v>0</v>
      </c>
    </row>
    <row r="78" spans="1:85" s="263" customFormat="1" ht="15" x14ac:dyDescent="0.2">
      <c r="A78" s="84"/>
      <c r="B78" s="85"/>
      <c r="C78" s="84"/>
      <c r="D78" s="88"/>
      <c r="E78" s="88"/>
      <c r="F78" s="201"/>
      <c r="G78" s="88"/>
      <c r="H78" s="216"/>
      <c r="I78" s="220"/>
      <c r="J78" s="202"/>
      <c r="K78" s="88"/>
      <c r="L78" s="203"/>
      <c r="M78" s="203"/>
      <c r="N78" s="201"/>
      <c r="O78" s="202"/>
      <c r="P78" s="88"/>
      <c r="Q78" s="203"/>
      <c r="R78" s="203"/>
      <c r="S78" s="201"/>
      <c r="T78" s="201"/>
      <c r="U78" s="88"/>
      <c r="V78" s="203"/>
      <c r="W78" s="203"/>
      <c r="X78" s="201"/>
      <c r="Y78" s="201"/>
      <c r="Z78" s="87"/>
      <c r="AA78" s="224"/>
      <c r="AB78" s="201"/>
      <c r="AC78" s="335"/>
      <c r="AD78" s="224"/>
      <c r="AE78" s="88"/>
      <c r="AF78" s="88"/>
      <c r="AG78" s="86"/>
      <c r="AH78" s="86"/>
      <c r="AI78" s="89"/>
      <c r="AJ78" s="86"/>
      <c r="AK78" s="86"/>
      <c r="AL78" s="86"/>
      <c r="AM78" s="86"/>
      <c r="AN78" s="86"/>
      <c r="AO78" s="86"/>
      <c r="AP78" s="115"/>
      <c r="AQ78" s="116"/>
      <c r="AR78" s="116"/>
      <c r="AS78" s="136"/>
      <c r="AT78" s="116"/>
      <c r="AU78" s="86"/>
      <c r="AV78" s="86"/>
      <c r="AW78" s="86"/>
      <c r="AX78" s="86"/>
      <c r="AY78" s="86"/>
      <c r="AZ78" s="90"/>
      <c r="BA78" s="90"/>
      <c r="BB78" s="86"/>
      <c r="BC78" s="116"/>
      <c r="BD78" s="116"/>
      <c r="BE78" s="116"/>
      <c r="BF78" s="86"/>
      <c r="BG78" s="91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261"/>
      <c r="CG78" s="336">
        <f>IF(OR($E78="",$E78=0),0, ROUND(100/(VLOOKUP($I78,'IPF Formula'!$A$3:$F$10,4,FALSE)-VLOOKUP($I78,'IPF Formula'!$A$3:$F$10,5,FALSE)*EXP(-VLOOKUP($I78,'IPF Formula'!$A$3:$F$10,6,FALSE)*$E78)),6))</f>
        <v>0</v>
      </c>
    </row>
    <row r="79" spans="1:85" s="263" customFormat="1" ht="15" x14ac:dyDescent="0.2">
      <c r="A79" s="84"/>
      <c r="B79" s="85"/>
      <c r="C79" s="84"/>
      <c r="D79" s="88"/>
      <c r="E79" s="88"/>
      <c r="F79" s="201"/>
      <c r="G79" s="88"/>
      <c r="H79" s="216"/>
      <c r="I79" s="220"/>
      <c r="J79" s="202"/>
      <c r="K79" s="88"/>
      <c r="L79" s="203"/>
      <c r="M79" s="203"/>
      <c r="N79" s="201"/>
      <c r="O79" s="202"/>
      <c r="P79" s="88"/>
      <c r="Q79" s="203"/>
      <c r="R79" s="203"/>
      <c r="S79" s="201"/>
      <c r="T79" s="201"/>
      <c r="U79" s="88"/>
      <c r="V79" s="203"/>
      <c r="W79" s="203"/>
      <c r="X79" s="201"/>
      <c r="Y79" s="201"/>
      <c r="Z79" s="87"/>
      <c r="AA79" s="224"/>
      <c r="AB79" s="201"/>
      <c r="AC79" s="335"/>
      <c r="AD79" s="224"/>
      <c r="AE79" s="88"/>
      <c r="AF79" s="88"/>
      <c r="AG79" s="86"/>
      <c r="AH79" s="86"/>
      <c r="AI79" s="89"/>
      <c r="AJ79" s="86"/>
      <c r="AK79" s="86"/>
      <c r="AL79" s="86"/>
      <c r="AM79" s="86"/>
      <c r="AN79" s="86"/>
      <c r="AO79" s="86"/>
      <c r="AP79" s="115"/>
      <c r="AQ79" s="116"/>
      <c r="AR79" s="116"/>
      <c r="AS79" s="136"/>
      <c r="AT79" s="116"/>
      <c r="AU79" s="86"/>
      <c r="AV79" s="86"/>
      <c r="AW79" s="86"/>
      <c r="AX79" s="86"/>
      <c r="AY79" s="86"/>
      <c r="AZ79" s="90"/>
      <c r="BA79" s="90"/>
      <c r="BB79" s="86"/>
      <c r="BC79" s="116"/>
      <c r="BD79" s="116"/>
      <c r="BE79" s="116"/>
      <c r="BF79" s="86"/>
      <c r="BG79" s="91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261"/>
      <c r="CG79" s="336">
        <f>IF(OR($E79="",$E79=0),0, ROUND(100/(VLOOKUP($I79,'IPF Formula'!$A$3:$F$10,4,FALSE)-VLOOKUP($I79,'IPF Formula'!$A$3:$F$10,5,FALSE)*EXP(-VLOOKUP($I79,'IPF Formula'!$A$3:$F$10,6,FALSE)*$E79)),6))</f>
        <v>0</v>
      </c>
    </row>
    <row r="80" spans="1:85" s="263" customFormat="1" ht="15" x14ac:dyDescent="0.2">
      <c r="A80" s="84"/>
      <c r="B80" s="85"/>
      <c r="C80" s="84"/>
      <c r="D80" s="88"/>
      <c r="E80" s="88"/>
      <c r="F80" s="201"/>
      <c r="G80" s="88"/>
      <c r="H80" s="216"/>
      <c r="I80" s="220"/>
      <c r="J80" s="202"/>
      <c r="K80" s="88"/>
      <c r="L80" s="203"/>
      <c r="M80" s="203"/>
      <c r="N80" s="201"/>
      <c r="O80" s="202"/>
      <c r="P80" s="88"/>
      <c r="Q80" s="203"/>
      <c r="R80" s="203"/>
      <c r="S80" s="201"/>
      <c r="T80" s="201"/>
      <c r="U80" s="88"/>
      <c r="V80" s="203"/>
      <c r="W80" s="203"/>
      <c r="X80" s="201"/>
      <c r="Y80" s="201"/>
      <c r="Z80" s="87"/>
      <c r="AA80" s="224"/>
      <c r="AB80" s="201"/>
      <c r="AC80" s="335"/>
      <c r="AD80" s="224"/>
      <c r="AE80" s="88"/>
      <c r="AF80" s="88"/>
      <c r="AG80" s="86"/>
      <c r="AH80" s="86"/>
      <c r="AI80" s="89"/>
      <c r="AJ80" s="86"/>
      <c r="AK80" s="86"/>
      <c r="AL80" s="86"/>
      <c r="AM80" s="86"/>
      <c r="AN80" s="86"/>
      <c r="AO80" s="86"/>
      <c r="AP80" s="115"/>
      <c r="AQ80" s="116"/>
      <c r="AR80" s="116"/>
      <c r="AS80" s="136"/>
      <c r="AT80" s="116"/>
      <c r="AU80" s="86"/>
      <c r="AV80" s="86"/>
      <c r="AW80" s="86"/>
      <c r="AX80" s="86"/>
      <c r="AY80" s="86"/>
      <c r="AZ80" s="90"/>
      <c r="BA80" s="90"/>
      <c r="BB80" s="86"/>
      <c r="BC80" s="116"/>
      <c r="BD80" s="116"/>
      <c r="BE80" s="116"/>
      <c r="BF80" s="86"/>
      <c r="BG80" s="91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261"/>
      <c r="CG80" s="336">
        <f>IF(OR($E80="",$E80=0),0, ROUND(100/(VLOOKUP($I80,'IPF Formula'!$A$3:$F$10,4,FALSE)-VLOOKUP($I80,'IPF Formula'!$A$3:$F$10,5,FALSE)*EXP(-VLOOKUP($I80,'IPF Formula'!$A$3:$F$10,6,FALSE)*$E80)),6))</f>
        <v>0</v>
      </c>
    </row>
    <row r="81" spans="1:85" s="263" customFormat="1" ht="15" x14ac:dyDescent="0.2">
      <c r="A81" s="84"/>
      <c r="B81" s="85"/>
      <c r="C81" s="84"/>
      <c r="D81" s="88"/>
      <c r="E81" s="88"/>
      <c r="F81" s="201"/>
      <c r="G81" s="88"/>
      <c r="H81" s="216"/>
      <c r="I81" s="220"/>
      <c r="J81" s="202"/>
      <c r="K81" s="88"/>
      <c r="L81" s="203"/>
      <c r="M81" s="203"/>
      <c r="N81" s="201"/>
      <c r="O81" s="202"/>
      <c r="P81" s="88"/>
      <c r="Q81" s="203"/>
      <c r="R81" s="203"/>
      <c r="S81" s="201"/>
      <c r="T81" s="201"/>
      <c r="U81" s="88"/>
      <c r="V81" s="203"/>
      <c r="W81" s="203"/>
      <c r="X81" s="201"/>
      <c r="Y81" s="201"/>
      <c r="Z81" s="87"/>
      <c r="AA81" s="224"/>
      <c r="AB81" s="201"/>
      <c r="AC81" s="335"/>
      <c r="AD81" s="224"/>
      <c r="AE81" s="88"/>
      <c r="AF81" s="88"/>
      <c r="AG81" s="86"/>
      <c r="AH81" s="86"/>
      <c r="AI81" s="89"/>
      <c r="AJ81" s="86"/>
      <c r="AK81" s="86"/>
      <c r="AL81" s="86"/>
      <c r="AM81" s="86"/>
      <c r="AN81" s="86"/>
      <c r="AO81" s="86"/>
      <c r="AP81" s="115"/>
      <c r="AQ81" s="116"/>
      <c r="AR81" s="116"/>
      <c r="AS81" s="136"/>
      <c r="AT81" s="116"/>
      <c r="AU81" s="86"/>
      <c r="AV81" s="86"/>
      <c r="AW81" s="86"/>
      <c r="AX81" s="86"/>
      <c r="AY81" s="86"/>
      <c r="AZ81" s="90"/>
      <c r="BA81" s="90"/>
      <c r="BB81" s="86"/>
      <c r="BC81" s="116"/>
      <c r="BD81" s="116"/>
      <c r="BE81" s="116"/>
      <c r="BF81" s="86"/>
      <c r="BG81" s="91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261"/>
      <c r="CG81" s="336">
        <f>IF(OR($E81="",$E81=0),0, ROUND(100/(VLOOKUP($I81,'IPF Formula'!$A$3:$F$10,4,FALSE)-VLOOKUP($I81,'IPF Formula'!$A$3:$F$10,5,FALSE)*EXP(-VLOOKUP($I81,'IPF Formula'!$A$3:$F$10,6,FALSE)*$E81)),6))</f>
        <v>0</v>
      </c>
    </row>
    <row r="82" spans="1:85" s="263" customFormat="1" ht="15" x14ac:dyDescent="0.2">
      <c r="A82" s="84"/>
      <c r="B82" s="85"/>
      <c r="C82" s="84"/>
      <c r="D82" s="88"/>
      <c r="E82" s="88"/>
      <c r="F82" s="201"/>
      <c r="G82" s="88"/>
      <c r="H82" s="216"/>
      <c r="I82" s="220"/>
      <c r="J82" s="202"/>
      <c r="K82" s="88"/>
      <c r="L82" s="203"/>
      <c r="M82" s="203"/>
      <c r="N82" s="201"/>
      <c r="O82" s="202"/>
      <c r="P82" s="88"/>
      <c r="Q82" s="203"/>
      <c r="R82" s="203"/>
      <c r="S82" s="201"/>
      <c r="T82" s="201"/>
      <c r="U82" s="88"/>
      <c r="V82" s="203"/>
      <c r="W82" s="203"/>
      <c r="X82" s="201"/>
      <c r="Y82" s="201"/>
      <c r="Z82" s="87"/>
      <c r="AA82" s="224"/>
      <c r="AB82" s="201"/>
      <c r="AC82" s="335"/>
      <c r="AD82" s="224"/>
      <c r="AE82" s="88"/>
      <c r="AF82" s="88"/>
      <c r="AG82" s="86"/>
      <c r="AH82" s="86"/>
      <c r="AI82" s="89"/>
      <c r="AJ82" s="86"/>
      <c r="AK82" s="86"/>
      <c r="AL82" s="86"/>
      <c r="AM82" s="86"/>
      <c r="AN82" s="86"/>
      <c r="AO82" s="86"/>
      <c r="AP82" s="115"/>
      <c r="AQ82" s="116"/>
      <c r="AR82" s="116"/>
      <c r="AS82" s="136"/>
      <c r="AT82" s="116"/>
      <c r="AU82" s="86"/>
      <c r="AV82" s="86"/>
      <c r="AW82" s="86"/>
      <c r="AX82" s="86"/>
      <c r="AY82" s="86"/>
      <c r="AZ82" s="90"/>
      <c r="BA82" s="90"/>
      <c r="BB82" s="86"/>
      <c r="BC82" s="116"/>
      <c r="BD82" s="116"/>
      <c r="BE82" s="116"/>
      <c r="BF82" s="86"/>
      <c r="BG82" s="91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261"/>
      <c r="CG82" s="336">
        <f>IF(OR($E82="",$E82=0),0, ROUND(100/(VLOOKUP($I82,'IPF Formula'!$A$3:$F$10,4,FALSE)-VLOOKUP($I82,'IPF Formula'!$A$3:$F$10,5,FALSE)*EXP(-VLOOKUP($I82,'IPF Formula'!$A$3:$F$10,6,FALSE)*$E82)),6))</f>
        <v>0</v>
      </c>
    </row>
    <row r="83" spans="1:85" s="263" customFormat="1" ht="15" x14ac:dyDescent="0.2">
      <c r="A83" s="84"/>
      <c r="B83" s="85"/>
      <c r="C83" s="84"/>
      <c r="D83" s="88"/>
      <c r="E83" s="88"/>
      <c r="F83" s="201"/>
      <c r="G83" s="88"/>
      <c r="H83" s="216"/>
      <c r="I83" s="220"/>
      <c r="J83" s="202"/>
      <c r="K83" s="88"/>
      <c r="L83" s="203"/>
      <c r="M83" s="203"/>
      <c r="N83" s="201"/>
      <c r="O83" s="202"/>
      <c r="P83" s="88"/>
      <c r="Q83" s="203"/>
      <c r="R83" s="203"/>
      <c r="S83" s="201"/>
      <c r="T83" s="201"/>
      <c r="U83" s="88"/>
      <c r="V83" s="203"/>
      <c r="W83" s="203"/>
      <c r="X83" s="201"/>
      <c r="Y83" s="201"/>
      <c r="Z83" s="87"/>
      <c r="AA83" s="224"/>
      <c r="AB83" s="201"/>
      <c r="AC83" s="335"/>
      <c r="AD83" s="224"/>
      <c r="AE83" s="88"/>
      <c r="AF83" s="88"/>
      <c r="AG83" s="86"/>
      <c r="AH83" s="86"/>
      <c r="AI83" s="89"/>
      <c r="AJ83" s="86"/>
      <c r="AK83" s="86"/>
      <c r="AL83" s="86"/>
      <c r="AM83" s="86"/>
      <c r="AN83" s="86"/>
      <c r="AO83" s="86"/>
      <c r="AP83" s="115"/>
      <c r="AQ83" s="116"/>
      <c r="AR83" s="116"/>
      <c r="AS83" s="136"/>
      <c r="AT83" s="116"/>
      <c r="AU83" s="86"/>
      <c r="AV83" s="86"/>
      <c r="AW83" s="86"/>
      <c r="AX83" s="86"/>
      <c r="AY83" s="86"/>
      <c r="AZ83" s="90"/>
      <c r="BA83" s="90"/>
      <c r="BB83" s="86"/>
      <c r="BC83" s="116"/>
      <c r="BD83" s="116"/>
      <c r="BE83" s="116"/>
      <c r="BF83" s="86"/>
      <c r="BG83" s="91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261"/>
      <c r="CG83" s="336">
        <f>IF(OR($E83="",$E83=0),0, ROUND(100/(VLOOKUP($I83,'IPF Formula'!$A$3:$F$10,4,FALSE)-VLOOKUP($I83,'IPF Formula'!$A$3:$F$10,5,FALSE)*EXP(-VLOOKUP($I83,'IPF Formula'!$A$3:$F$10,6,FALSE)*$E83)),6))</f>
        <v>0</v>
      </c>
    </row>
    <row r="84" spans="1:85" s="263" customFormat="1" ht="15" x14ac:dyDescent="0.2">
      <c r="A84" s="84"/>
      <c r="B84" s="85"/>
      <c r="C84" s="84"/>
      <c r="D84" s="88"/>
      <c r="E84" s="88"/>
      <c r="F84" s="201"/>
      <c r="G84" s="88"/>
      <c r="H84" s="216"/>
      <c r="I84" s="220"/>
      <c r="J84" s="202"/>
      <c r="K84" s="88"/>
      <c r="L84" s="203"/>
      <c r="M84" s="203"/>
      <c r="N84" s="201"/>
      <c r="O84" s="202"/>
      <c r="P84" s="88"/>
      <c r="Q84" s="203"/>
      <c r="R84" s="203"/>
      <c r="S84" s="201"/>
      <c r="T84" s="201"/>
      <c r="U84" s="88"/>
      <c r="V84" s="203"/>
      <c r="W84" s="203"/>
      <c r="X84" s="201"/>
      <c r="Y84" s="201"/>
      <c r="Z84" s="87"/>
      <c r="AA84" s="224"/>
      <c r="AB84" s="201"/>
      <c r="AC84" s="335"/>
      <c r="AD84" s="224"/>
      <c r="AE84" s="88"/>
      <c r="AF84" s="88"/>
      <c r="AG84" s="86"/>
      <c r="AH84" s="86"/>
      <c r="AI84" s="89"/>
      <c r="AJ84" s="86"/>
      <c r="AK84" s="86"/>
      <c r="AL84" s="86"/>
      <c r="AM84" s="86"/>
      <c r="AN84" s="86"/>
      <c r="AO84" s="86"/>
      <c r="AP84" s="115"/>
      <c r="AQ84" s="116"/>
      <c r="AR84" s="116"/>
      <c r="AS84" s="136"/>
      <c r="AT84" s="116"/>
      <c r="AU84" s="86"/>
      <c r="AV84" s="86"/>
      <c r="AW84" s="86"/>
      <c r="AX84" s="86"/>
      <c r="AY84" s="86"/>
      <c r="AZ84" s="90"/>
      <c r="BA84" s="90"/>
      <c r="BB84" s="86"/>
      <c r="BC84" s="116"/>
      <c r="BD84" s="116"/>
      <c r="BE84" s="116"/>
      <c r="BF84" s="86"/>
      <c r="BG84" s="91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261"/>
      <c r="CG84" s="336">
        <f>IF(OR($E84="",$E84=0),0, ROUND(100/(VLOOKUP($I84,'IPF Formula'!$A$3:$F$10,4,FALSE)-VLOOKUP($I84,'IPF Formula'!$A$3:$F$10,5,FALSE)*EXP(-VLOOKUP($I84,'IPF Formula'!$A$3:$F$10,6,FALSE)*$E84)),6))</f>
        <v>0</v>
      </c>
    </row>
    <row r="85" spans="1:85" s="263" customFormat="1" ht="15" x14ac:dyDescent="0.2">
      <c r="A85" s="84"/>
      <c r="B85" s="85"/>
      <c r="C85" s="84"/>
      <c r="D85" s="88"/>
      <c r="E85" s="88"/>
      <c r="F85" s="201"/>
      <c r="G85" s="88"/>
      <c r="H85" s="216"/>
      <c r="I85" s="220"/>
      <c r="J85" s="202"/>
      <c r="K85" s="88"/>
      <c r="L85" s="203"/>
      <c r="M85" s="203"/>
      <c r="N85" s="201"/>
      <c r="O85" s="202"/>
      <c r="P85" s="88"/>
      <c r="Q85" s="203"/>
      <c r="R85" s="203"/>
      <c r="S85" s="201"/>
      <c r="T85" s="201"/>
      <c r="U85" s="88"/>
      <c r="V85" s="203"/>
      <c r="W85" s="203"/>
      <c r="X85" s="201"/>
      <c r="Y85" s="201"/>
      <c r="Z85" s="87"/>
      <c r="AA85" s="224"/>
      <c r="AB85" s="201"/>
      <c r="AC85" s="335"/>
      <c r="AD85" s="224"/>
      <c r="AE85" s="88"/>
      <c r="AF85" s="88"/>
      <c r="AG85" s="86"/>
      <c r="AH85" s="86"/>
      <c r="AI85" s="89"/>
      <c r="AJ85" s="86"/>
      <c r="AK85" s="86"/>
      <c r="AL85" s="86"/>
      <c r="AM85" s="86"/>
      <c r="AN85" s="86"/>
      <c r="AO85" s="86"/>
      <c r="AP85" s="115"/>
      <c r="AQ85" s="116"/>
      <c r="AR85" s="116"/>
      <c r="AS85" s="136"/>
      <c r="AT85" s="116"/>
      <c r="AU85" s="86"/>
      <c r="AV85" s="86"/>
      <c r="AW85" s="86"/>
      <c r="AX85" s="86"/>
      <c r="AY85" s="86"/>
      <c r="AZ85" s="90"/>
      <c r="BA85" s="90"/>
      <c r="BB85" s="86"/>
      <c r="BC85" s="116"/>
      <c r="BD85" s="116"/>
      <c r="BE85" s="116"/>
      <c r="BF85" s="86"/>
      <c r="BG85" s="91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261"/>
      <c r="CG85" s="336">
        <f>IF(OR($E85="",$E85=0),0, ROUND(100/(VLOOKUP($I85,'IPF Formula'!$A$3:$F$10,4,FALSE)-VLOOKUP($I85,'IPF Formula'!$A$3:$F$10,5,FALSE)*EXP(-VLOOKUP($I85,'IPF Formula'!$A$3:$F$10,6,FALSE)*$E85)),6))</f>
        <v>0</v>
      </c>
    </row>
    <row r="86" spans="1:85" s="263" customFormat="1" ht="15" x14ac:dyDescent="0.2">
      <c r="A86" s="84"/>
      <c r="B86" s="85"/>
      <c r="C86" s="84"/>
      <c r="D86" s="88"/>
      <c r="E86" s="88"/>
      <c r="F86" s="201"/>
      <c r="G86" s="88"/>
      <c r="H86" s="216"/>
      <c r="I86" s="220"/>
      <c r="J86" s="202"/>
      <c r="K86" s="88"/>
      <c r="L86" s="203"/>
      <c r="M86" s="203"/>
      <c r="N86" s="201"/>
      <c r="O86" s="202"/>
      <c r="P86" s="88"/>
      <c r="Q86" s="203"/>
      <c r="R86" s="203"/>
      <c r="S86" s="201"/>
      <c r="T86" s="201"/>
      <c r="U86" s="88"/>
      <c r="V86" s="203"/>
      <c r="W86" s="203"/>
      <c r="X86" s="201"/>
      <c r="Y86" s="201"/>
      <c r="Z86" s="87"/>
      <c r="AA86" s="224"/>
      <c r="AB86" s="201"/>
      <c r="AC86" s="335"/>
      <c r="AD86" s="224"/>
      <c r="AE86" s="88"/>
      <c r="AF86" s="88"/>
      <c r="AG86" s="86"/>
      <c r="AH86" s="86"/>
      <c r="AI86" s="89"/>
      <c r="AJ86" s="86"/>
      <c r="AK86" s="86"/>
      <c r="AL86" s="86"/>
      <c r="AM86" s="86"/>
      <c r="AN86" s="86"/>
      <c r="AO86" s="86"/>
      <c r="AP86" s="115"/>
      <c r="AQ86" s="116"/>
      <c r="AR86" s="116"/>
      <c r="AS86" s="136"/>
      <c r="AT86" s="116"/>
      <c r="AU86" s="86"/>
      <c r="AV86" s="86"/>
      <c r="AW86" s="86"/>
      <c r="AX86" s="86"/>
      <c r="AY86" s="86"/>
      <c r="AZ86" s="90"/>
      <c r="BA86" s="90"/>
      <c r="BB86" s="86"/>
      <c r="BC86" s="116"/>
      <c r="BD86" s="116"/>
      <c r="BE86" s="116"/>
      <c r="BF86" s="86"/>
      <c r="BG86" s="91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261"/>
      <c r="CG86" s="336">
        <f>IF(OR($E86="",$E86=0),0, ROUND(100/(VLOOKUP($I86,'IPF Formula'!$A$3:$F$10,4,FALSE)-VLOOKUP($I86,'IPF Formula'!$A$3:$F$10,5,FALSE)*EXP(-VLOOKUP($I86,'IPF Formula'!$A$3:$F$10,6,FALSE)*$E86)),6))</f>
        <v>0</v>
      </c>
    </row>
    <row r="87" spans="1:85" s="263" customFormat="1" ht="15" x14ac:dyDescent="0.2">
      <c r="A87" s="84"/>
      <c r="B87" s="85"/>
      <c r="C87" s="84"/>
      <c r="D87" s="88"/>
      <c r="E87" s="88"/>
      <c r="F87" s="201"/>
      <c r="G87" s="88"/>
      <c r="H87" s="216"/>
      <c r="I87" s="220"/>
      <c r="J87" s="202"/>
      <c r="K87" s="88"/>
      <c r="L87" s="203"/>
      <c r="M87" s="203"/>
      <c r="N87" s="201"/>
      <c r="O87" s="202"/>
      <c r="P87" s="88"/>
      <c r="Q87" s="203"/>
      <c r="R87" s="203"/>
      <c r="S87" s="201"/>
      <c r="T87" s="201"/>
      <c r="U87" s="88"/>
      <c r="V87" s="203"/>
      <c r="W87" s="203"/>
      <c r="X87" s="201"/>
      <c r="Y87" s="201"/>
      <c r="Z87" s="87"/>
      <c r="AA87" s="224"/>
      <c r="AB87" s="201"/>
      <c r="AC87" s="335"/>
      <c r="AD87" s="224"/>
      <c r="AE87" s="88"/>
      <c r="AF87" s="88"/>
      <c r="AG87" s="86"/>
      <c r="AH87" s="86"/>
      <c r="AI87" s="89"/>
      <c r="AJ87" s="86"/>
      <c r="AK87" s="86"/>
      <c r="AL87" s="86"/>
      <c r="AM87" s="86"/>
      <c r="AN87" s="86"/>
      <c r="AO87" s="86"/>
      <c r="AP87" s="115"/>
      <c r="AQ87" s="116"/>
      <c r="AR87" s="116"/>
      <c r="AS87" s="136"/>
      <c r="AT87" s="116"/>
      <c r="AU87" s="86"/>
      <c r="AV87" s="86"/>
      <c r="AW87" s="86"/>
      <c r="AX87" s="86"/>
      <c r="AY87" s="86"/>
      <c r="AZ87" s="90"/>
      <c r="BA87" s="90"/>
      <c r="BB87" s="86"/>
      <c r="BC87" s="116"/>
      <c r="BD87" s="116"/>
      <c r="BE87" s="116"/>
      <c r="BF87" s="86"/>
      <c r="BG87" s="91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261"/>
      <c r="CG87" s="336">
        <f>IF(OR($E87="",$E87=0),0, ROUND(100/(VLOOKUP($I87,'IPF Formula'!$A$3:$F$10,4,FALSE)-VLOOKUP($I87,'IPF Formula'!$A$3:$F$10,5,FALSE)*EXP(-VLOOKUP($I87,'IPF Formula'!$A$3:$F$10,6,FALSE)*$E87)),6))</f>
        <v>0</v>
      </c>
    </row>
    <row r="88" spans="1:85" s="263" customFormat="1" ht="15" x14ac:dyDescent="0.2">
      <c r="A88" s="84"/>
      <c r="B88" s="85"/>
      <c r="C88" s="84"/>
      <c r="D88" s="88"/>
      <c r="E88" s="88"/>
      <c r="F88" s="201"/>
      <c r="G88" s="88"/>
      <c r="H88" s="216"/>
      <c r="I88" s="220"/>
      <c r="J88" s="202"/>
      <c r="K88" s="88"/>
      <c r="L88" s="203"/>
      <c r="M88" s="203"/>
      <c r="N88" s="201"/>
      <c r="O88" s="202"/>
      <c r="P88" s="88"/>
      <c r="Q88" s="203"/>
      <c r="R88" s="203"/>
      <c r="S88" s="201"/>
      <c r="T88" s="201"/>
      <c r="U88" s="88"/>
      <c r="V88" s="203"/>
      <c r="W88" s="203"/>
      <c r="X88" s="201"/>
      <c r="Y88" s="201"/>
      <c r="Z88" s="87"/>
      <c r="AA88" s="224"/>
      <c r="AB88" s="201"/>
      <c r="AC88" s="335"/>
      <c r="AD88" s="224"/>
      <c r="AE88" s="88"/>
      <c r="AF88" s="88"/>
      <c r="AG88" s="86"/>
      <c r="AH88" s="86"/>
      <c r="AI88" s="89"/>
      <c r="AJ88" s="86"/>
      <c r="AK88" s="86"/>
      <c r="AL88" s="86"/>
      <c r="AM88" s="86"/>
      <c r="AN88" s="86"/>
      <c r="AO88" s="86"/>
      <c r="AP88" s="115"/>
      <c r="AQ88" s="116"/>
      <c r="AR88" s="116"/>
      <c r="AS88" s="136"/>
      <c r="AT88" s="116"/>
      <c r="AU88" s="86"/>
      <c r="AV88" s="86"/>
      <c r="AW88" s="86"/>
      <c r="AX88" s="86"/>
      <c r="AY88" s="86"/>
      <c r="AZ88" s="90"/>
      <c r="BA88" s="90"/>
      <c r="BB88" s="86"/>
      <c r="BC88" s="116"/>
      <c r="BD88" s="116"/>
      <c r="BE88" s="116"/>
      <c r="BF88" s="86"/>
      <c r="BG88" s="91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261"/>
      <c r="CG88" s="336">
        <f>IF(OR($E88="",$E88=0),0, ROUND(100/(VLOOKUP($I88,'IPF Formula'!$A$3:$F$10,4,FALSE)-VLOOKUP($I88,'IPF Formula'!$A$3:$F$10,5,FALSE)*EXP(-VLOOKUP($I88,'IPF Formula'!$A$3:$F$10,6,FALSE)*$E88)),6))</f>
        <v>0</v>
      </c>
    </row>
    <row r="89" spans="1:85" s="263" customFormat="1" ht="15" x14ac:dyDescent="0.2">
      <c r="A89" s="84"/>
      <c r="B89" s="85"/>
      <c r="C89" s="84"/>
      <c r="D89" s="88"/>
      <c r="E89" s="88"/>
      <c r="F89" s="201"/>
      <c r="G89" s="88"/>
      <c r="H89" s="216"/>
      <c r="I89" s="220"/>
      <c r="J89" s="202"/>
      <c r="K89" s="88"/>
      <c r="L89" s="203"/>
      <c r="M89" s="203"/>
      <c r="N89" s="201"/>
      <c r="O89" s="202"/>
      <c r="P89" s="88"/>
      <c r="Q89" s="203"/>
      <c r="R89" s="203"/>
      <c r="S89" s="201"/>
      <c r="T89" s="201"/>
      <c r="U89" s="88"/>
      <c r="V89" s="203"/>
      <c r="W89" s="203"/>
      <c r="X89" s="201"/>
      <c r="Y89" s="201"/>
      <c r="Z89" s="87"/>
      <c r="AA89" s="224"/>
      <c r="AB89" s="201"/>
      <c r="AC89" s="335"/>
      <c r="AD89" s="224"/>
      <c r="AE89" s="88"/>
      <c r="AF89" s="88"/>
      <c r="AG89" s="86"/>
      <c r="AH89" s="86"/>
      <c r="AI89" s="89"/>
      <c r="AJ89" s="86"/>
      <c r="AK89" s="86"/>
      <c r="AL89" s="86"/>
      <c r="AM89" s="86"/>
      <c r="AN89" s="86"/>
      <c r="AO89" s="86"/>
      <c r="AP89" s="115"/>
      <c r="AQ89" s="116"/>
      <c r="AR89" s="116"/>
      <c r="AS89" s="136"/>
      <c r="AT89" s="116"/>
      <c r="AU89" s="86"/>
      <c r="AV89" s="86"/>
      <c r="AW89" s="86"/>
      <c r="AX89" s="86"/>
      <c r="AY89" s="86"/>
      <c r="AZ89" s="90"/>
      <c r="BA89" s="90"/>
      <c r="BB89" s="86"/>
      <c r="BC89" s="116"/>
      <c r="BD89" s="116"/>
      <c r="BE89" s="116"/>
      <c r="BF89" s="86"/>
      <c r="BG89" s="91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261"/>
      <c r="CG89" s="336">
        <f>IF(OR($E89="",$E89=0),0, ROUND(100/(VLOOKUP($I89,'IPF Formula'!$A$3:$F$10,4,FALSE)-VLOOKUP($I89,'IPF Formula'!$A$3:$F$10,5,FALSE)*EXP(-VLOOKUP($I89,'IPF Formula'!$A$3:$F$10,6,FALSE)*$E89)),6))</f>
        <v>0</v>
      </c>
    </row>
    <row r="90" spans="1:85" s="263" customFormat="1" ht="15" x14ac:dyDescent="0.2">
      <c r="A90" s="84"/>
      <c r="B90" s="85"/>
      <c r="C90" s="84"/>
      <c r="D90" s="88"/>
      <c r="E90" s="88"/>
      <c r="F90" s="201"/>
      <c r="G90" s="88"/>
      <c r="H90" s="216"/>
      <c r="I90" s="220"/>
      <c r="J90" s="202"/>
      <c r="K90" s="88"/>
      <c r="L90" s="203"/>
      <c r="M90" s="203"/>
      <c r="N90" s="201"/>
      <c r="O90" s="202"/>
      <c r="P90" s="88"/>
      <c r="Q90" s="203"/>
      <c r="R90" s="203"/>
      <c r="S90" s="201"/>
      <c r="T90" s="201"/>
      <c r="U90" s="88"/>
      <c r="V90" s="203"/>
      <c r="W90" s="203"/>
      <c r="X90" s="201"/>
      <c r="Y90" s="201"/>
      <c r="Z90" s="87"/>
      <c r="AA90" s="224"/>
      <c r="AB90" s="201"/>
      <c r="AC90" s="335"/>
      <c r="AD90" s="224"/>
      <c r="AE90" s="88"/>
      <c r="AF90" s="88"/>
      <c r="AG90" s="86"/>
      <c r="AH90" s="86"/>
      <c r="AI90" s="89"/>
      <c r="AJ90" s="86"/>
      <c r="AK90" s="86"/>
      <c r="AL90" s="86"/>
      <c r="AM90" s="86"/>
      <c r="AN90" s="86"/>
      <c r="AO90" s="86"/>
      <c r="AP90" s="115"/>
      <c r="AQ90" s="116"/>
      <c r="AR90" s="116"/>
      <c r="AS90" s="136"/>
      <c r="AT90" s="116"/>
      <c r="AU90" s="86"/>
      <c r="AV90" s="86"/>
      <c r="AW90" s="86"/>
      <c r="AX90" s="86"/>
      <c r="AY90" s="86"/>
      <c r="AZ90" s="90"/>
      <c r="BA90" s="90"/>
      <c r="BB90" s="86"/>
      <c r="BC90" s="116"/>
      <c r="BD90" s="116"/>
      <c r="BE90" s="116"/>
      <c r="BF90" s="86"/>
      <c r="BG90" s="91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261"/>
      <c r="CG90" s="336">
        <f>IF(OR($E90="",$E90=0),0, ROUND(100/(VLOOKUP($I90,'IPF Formula'!$A$3:$F$10,4,FALSE)-VLOOKUP($I90,'IPF Formula'!$A$3:$F$10,5,FALSE)*EXP(-VLOOKUP($I90,'IPF Formula'!$A$3:$F$10,6,FALSE)*$E90)),6))</f>
        <v>0</v>
      </c>
    </row>
    <row r="91" spans="1:85" s="263" customFormat="1" ht="15" x14ac:dyDescent="0.2">
      <c r="A91" s="84"/>
      <c r="B91" s="85"/>
      <c r="C91" s="84"/>
      <c r="D91" s="88"/>
      <c r="E91" s="88"/>
      <c r="F91" s="201"/>
      <c r="G91" s="88"/>
      <c r="H91" s="216"/>
      <c r="I91" s="220"/>
      <c r="J91" s="202"/>
      <c r="K91" s="88"/>
      <c r="L91" s="203"/>
      <c r="M91" s="203"/>
      <c r="N91" s="201"/>
      <c r="O91" s="202"/>
      <c r="P91" s="88"/>
      <c r="Q91" s="203"/>
      <c r="R91" s="203"/>
      <c r="S91" s="201"/>
      <c r="T91" s="201"/>
      <c r="U91" s="88"/>
      <c r="V91" s="203"/>
      <c r="W91" s="203"/>
      <c r="X91" s="201"/>
      <c r="Y91" s="201"/>
      <c r="Z91" s="87"/>
      <c r="AA91" s="224"/>
      <c r="AB91" s="201"/>
      <c r="AC91" s="335"/>
      <c r="AD91" s="224"/>
      <c r="AE91" s="88"/>
      <c r="AF91" s="88"/>
      <c r="AG91" s="86"/>
      <c r="AH91" s="86"/>
      <c r="AI91" s="89"/>
      <c r="AJ91" s="86"/>
      <c r="AK91" s="86"/>
      <c r="AL91" s="86"/>
      <c r="AM91" s="86"/>
      <c r="AN91" s="86"/>
      <c r="AO91" s="86"/>
      <c r="AP91" s="115"/>
      <c r="AQ91" s="116"/>
      <c r="AR91" s="116"/>
      <c r="AS91" s="136"/>
      <c r="AT91" s="116"/>
      <c r="AU91" s="86"/>
      <c r="AV91" s="86"/>
      <c r="AW91" s="86"/>
      <c r="AX91" s="86"/>
      <c r="AY91" s="86"/>
      <c r="AZ91" s="90"/>
      <c r="BA91" s="90"/>
      <c r="BB91" s="86"/>
      <c r="BC91" s="116"/>
      <c r="BD91" s="116"/>
      <c r="BE91" s="116"/>
      <c r="BF91" s="86"/>
      <c r="BG91" s="91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261"/>
      <c r="CG91" s="336">
        <f>IF(OR($E91="",$E91=0),0, ROUND(100/(VLOOKUP($I91,'IPF Formula'!$A$3:$F$10,4,FALSE)-VLOOKUP($I91,'IPF Formula'!$A$3:$F$10,5,FALSE)*EXP(-VLOOKUP($I91,'IPF Formula'!$A$3:$F$10,6,FALSE)*$E91)),6))</f>
        <v>0</v>
      </c>
    </row>
    <row r="92" spans="1:85" s="263" customFormat="1" ht="15" x14ac:dyDescent="0.2">
      <c r="A92" s="84"/>
      <c r="B92" s="85"/>
      <c r="C92" s="84"/>
      <c r="D92" s="88"/>
      <c r="E92" s="88"/>
      <c r="F92" s="201"/>
      <c r="G92" s="88"/>
      <c r="H92" s="216"/>
      <c r="I92" s="220"/>
      <c r="J92" s="202"/>
      <c r="K92" s="88"/>
      <c r="L92" s="203"/>
      <c r="M92" s="203"/>
      <c r="N92" s="201"/>
      <c r="O92" s="202"/>
      <c r="P92" s="88"/>
      <c r="Q92" s="203"/>
      <c r="R92" s="203"/>
      <c r="S92" s="201"/>
      <c r="T92" s="201"/>
      <c r="U92" s="88"/>
      <c r="V92" s="203"/>
      <c r="W92" s="203"/>
      <c r="X92" s="201"/>
      <c r="Y92" s="201"/>
      <c r="Z92" s="87"/>
      <c r="AA92" s="224"/>
      <c r="AB92" s="201"/>
      <c r="AC92" s="335"/>
      <c r="AD92" s="224"/>
      <c r="AE92" s="88"/>
      <c r="AF92" s="88"/>
      <c r="AG92" s="86"/>
      <c r="AH92" s="86"/>
      <c r="AI92" s="89"/>
      <c r="AJ92" s="86"/>
      <c r="AK92" s="86"/>
      <c r="AL92" s="86"/>
      <c r="AM92" s="86"/>
      <c r="AN92" s="86"/>
      <c r="AO92" s="86"/>
      <c r="AP92" s="115"/>
      <c r="AQ92" s="116"/>
      <c r="AR92" s="116"/>
      <c r="AS92" s="136"/>
      <c r="AT92" s="116"/>
      <c r="AU92" s="86"/>
      <c r="AV92" s="86"/>
      <c r="AW92" s="86"/>
      <c r="AX92" s="86"/>
      <c r="AY92" s="86"/>
      <c r="AZ92" s="90"/>
      <c r="BA92" s="90"/>
      <c r="BB92" s="86"/>
      <c r="BC92" s="116"/>
      <c r="BD92" s="116"/>
      <c r="BE92" s="116"/>
      <c r="BF92" s="86"/>
      <c r="BG92" s="91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261"/>
      <c r="CG92" s="336">
        <f>IF(OR($E92="",$E92=0),0, ROUND(100/(VLOOKUP($I92,'IPF Formula'!$A$3:$F$10,4,FALSE)-VLOOKUP($I92,'IPF Formula'!$A$3:$F$10,5,FALSE)*EXP(-VLOOKUP($I92,'IPF Formula'!$A$3:$F$10,6,FALSE)*$E92)),6))</f>
        <v>0</v>
      </c>
    </row>
    <row r="93" spans="1:85" s="263" customFormat="1" ht="15" x14ac:dyDescent="0.2">
      <c r="A93" s="84"/>
      <c r="B93" s="85"/>
      <c r="C93" s="84"/>
      <c r="D93" s="88"/>
      <c r="E93" s="88"/>
      <c r="F93" s="201"/>
      <c r="G93" s="88"/>
      <c r="H93" s="216"/>
      <c r="I93" s="220"/>
      <c r="J93" s="202"/>
      <c r="K93" s="88"/>
      <c r="L93" s="203"/>
      <c r="M93" s="203"/>
      <c r="N93" s="201"/>
      <c r="O93" s="202"/>
      <c r="P93" s="88"/>
      <c r="Q93" s="203"/>
      <c r="R93" s="203"/>
      <c r="S93" s="201"/>
      <c r="T93" s="201"/>
      <c r="U93" s="88"/>
      <c r="V93" s="203"/>
      <c r="W93" s="203"/>
      <c r="X93" s="201"/>
      <c r="Y93" s="201"/>
      <c r="Z93" s="87"/>
      <c r="AA93" s="224"/>
      <c r="AB93" s="201"/>
      <c r="AC93" s="335"/>
      <c r="AD93" s="224"/>
      <c r="AE93" s="88"/>
      <c r="AF93" s="88"/>
      <c r="AG93" s="86"/>
      <c r="AH93" s="86"/>
      <c r="AI93" s="89"/>
      <c r="AJ93" s="86"/>
      <c r="AK93" s="86"/>
      <c r="AL93" s="86"/>
      <c r="AM93" s="86"/>
      <c r="AN93" s="86"/>
      <c r="AO93" s="86"/>
      <c r="AP93" s="115"/>
      <c r="AQ93" s="116"/>
      <c r="AR93" s="116"/>
      <c r="AS93" s="136"/>
      <c r="AT93" s="116"/>
      <c r="AU93" s="86"/>
      <c r="AV93" s="86"/>
      <c r="AW93" s="86"/>
      <c r="AX93" s="86"/>
      <c r="AY93" s="86"/>
      <c r="AZ93" s="90"/>
      <c r="BA93" s="90"/>
      <c r="BB93" s="86"/>
      <c r="BC93" s="116"/>
      <c r="BD93" s="116"/>
      <c r="BE93" s="116"/>
      <c r="BF93" s="86"/>
      <c r="BG93" s="91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261"/>
      <c r="CG93" s="336">
        <f>IF(OR($E93="",$E93=0),0, ROUND(100/(VLOOKUP($I93,'IPF Formula'!$A$3:$F$10,4,FALSE)-VLOOKUP($I93,'IPF Formula'!$A$3:$F$10,5,FALSE)*EXP(-VLOOKUP($I93,'IPF Formula'!$A$3:$F$10,6,FALSE)*$E93)),6))</f>
        <v>0</v>
      </c>
    </row>
    <row r="94" spans="1:85" s="263" customFormat="1" ht="15" x14ac:dyDescent="0.2">
      <c r="A94" s="84"/>
      <c r="B94" s="85"/>
      <c r="C94" s="84"/>
      <c r="D94" s="88"/>
      <c r="E94" s="88"/>
      <c r="F94" s="201"/>
      <c r="G94" s="88"/>
      <c r="H94" s="216"/>
      <c r="I94" s="220"/>
      <c r="J94" s="202"/>
      <c r="K94" s="88"/>
      <c r="L94" s="203"/>
      <c r="M94" s="203"/>
      <c r="N94" s="201"/>
      <c r="O94" s="202"/>
      <c r="P94" s="88"/>
      <c r="Q94" s="203"/>
      <c r="R94" s="203"/>
      <c r="S94" s="201"/>
      <c r="T94" s="201"/>
      <c r="U94" s="88"/>
      <c r="V94" s="203"/>
      <c r="W94" s="203"/>
      <c r="X94" s="201"/>
      <c r="Y94" s="201"/>
      <c r="Z94" s="87"/>
      <c r="AA94" s="224"/>
      <c r="AB94" s="201"/>
      <c r="AC94" s="335"/>
      <c r="AD94" s="224"/>
      <c r="AE94" s="88"/>
      <c r="AF94" s="88"/>
      <c r="AG94" s="86"/>
      <c r="AH94" s="86"/>
      <c r="AI94" s="89"/>
      <c r="AJ94" s="86"/>
      <c r="AK94" s="86"/>
      <c r="AL94" s="86"/>
      <c r="AM94" s="86"/>
      <c r="AN94" s="86"/>
      <c r="AO94" s="86"/>
      <c r="AP94" s="115"/>
      <c r="AQ94" s="116"/>
      <c r="AR94" s="116"/>
      <c r="AS94" s="136"/>
      <c r="AT94" s="116"/>
      <c r="AU94" s="86"/>
      <c r="AV94" s="86"/>
      <c r="AW94" s="86"/>
      <c r="AX94" s="86"/>
      <c r="AY94" s="86"/>
      <c r="AZ94" s="90"/>
      <c r="BA94" s="90"/>
      <c r="BB94" s="86"/>
      <c r="BC94" s="116"/>
      <c r="BD94" s="116"/>
      <c r="BE94" s="116"/>
      <c r="BF94" s="86"/>
      <c r="BG94" s="91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261"/>
      <c r="CG94" s="336">
        <f>IF(OR($E94="",$E94=0),0, ROUND(100/(VLOOKUP($I94,'IPF Formula'!$A$3:$F$10,4,FALSE)-VLOOKUP($I94,'IPF Formula'!$A$3:$F$10,5,FALSE)*EXP(-VLOOKUP($I94,'IPF Formula'!$A$3:$F$10,6,FALSE)*$E94)),6))</f>
        <v>0</v>
      </c>
    </row>
    <row r="95" spans="1:85" s="263" customFormat="1" ht="15" x14ac:dyDescent="0.2">
      <c r="A95" s="84"/>
      <c r="B95" s="85"/>
      <c r="C95" s="84"/>
      <c r="D95" s="88"/>
      <c r="E95" s="88"/>
      <c r="F95" s="201"/>
      <c r="G95" s="88"/>
      <c r="H95" s="216"/>
      <c r="I95" s="220"/>
      <c r="J95" s="202"/>
      <c r="K95" s="88"/>
      <c r="L95" s="203"/>
      <c r="M95" s="203"/>
      <c r="N95" s="201"/>
      <c r="O95" s="202"/>
      <c r="P95" s="88"/>
      <c r="Q95" s="203"/>
      <c r="R95" s="203"/>
      <c r="S95" s="201"/>
      <c r="T95" s="201"/>
      <c r="U95" s="88"/>
      <c r="V95" s="203"/>
      <c r="W95" s="203"/>
      <c r="X95" s="201"/>
      <c r="Y95" s="201"/>
      <c r="Z95" s="87"/>
      <c r="AA95" s="224"/>
      <c r="AB95" s="201"/>
      <c r="AC95" s="335"/>
      <c r="AD95" s="224"/>
      <c r="AE95" s="88"/>
      <c r="AF95" s="88"/>
      <c r="AG95" s="86"/>
      <c r="AH95" s="86"/>
      <c r="AI95" s="89"/>
      <c r="AJ95" s="86"/>
      <c r="AK95" s="86"/>
      <c r="AL95" s="86"/>
      <c r="AM95" s="86"/>
      <c r="AN95" s="86"/>
      <c r="AO95" s="86"/>
      <c r="AP95" s="115"/>
      <c r="AQ95" s="116"/>
      <c r="AR95" s="116"/>
      <c r="AS95" s="136"/>
      <c r="AT95" s="116"/>
      <c r="AU95" s="86"/>
      <c r="AV95" s="86"/>
      <c r="AW95" s="86"/>
      <c r="AX95" s="86"/>
      <c r="AY95" s="86"/>
      <c r="AZ95" s="90"/>
      <c r="BA95" s="90"/>
      <c r="BB95" s="86"/>
      <c r="BC95" s="116"/>
      <c r="BD95" s="116"/>
      <c r="BE95" s="116"/>
      <c r="BF95" s="86"/>
      <c r="BG95" s="91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261"/>
      <c r="CG95" s="336">
        <f>IF(OR($E95="",$E95=0),0, ROUND(100/(VLOOKUP($I95,'IPF Formula'!$A$3:$F$10,4,FALSE)-VLOOKUP($I95,'IPF Formula'!$A$3:$F$10,5,FALSE)*EXP(-VLOOKUP($I95,'IPF Formula'!$A$3:$F$10,6,FALSE)*$E95)),6))</f>
        <v>0</v>
      </c>
    </row>
    <row r="96" spans="1:85" s="263" customFormat="1" ht="15" x14ac:dyDescent="0.2">
      <c r="A96" s="84"/>
      <c r="B96" s="85"/>
      <c r="C96" s="84"/>
      <c r="D96" s="88"/>
      <c r="E96" s="88"/>
      <c r="F96" s="201"/>
      <c r="G96" s="88"/>
      <c r="H96" s="216"/>
      <c r="I96" s="220"/>
      <c r="J96" s="202"/>
      <c r="K96" s="88"/>
      <c r="L96" s="203"/>
      <c r="M96" s="203"/>
      <c r="N96" s="201"/>
      <c r="O96" s="202"/>
      <c r="P96" s="88"/>
      <c r="Q96" s="203"/>
      <c r="R96" s="203"/>
      <c r="S96" s="201"/>
      <c r="T96" s="201"/>
      <c r="U96" s="88"/>
      <c r="V96" s="203"/>
      <c r="W96" s="203"/>
      <c r="X96" s="201"/>
      <c r="Y96" s="201"/>
      <c r="Z96" s="87"/>
      <c r="AA96" s="224"/>
      <c r="AB96" s="201"/>
      <c r="AC96" s="335"/>
      <c r="AD96" s="224"/>
      <c r="AE96" s="88"/>
      <c r="AF96" s="88"/>
      <c r="AG96" s="86"/>
      <c r="AH96" s="86"/>
      <c r="AI96" s="89"/>
      <c r="AJ96" s="86"/>
      <c r="AK96" s="86"/>
      <c r="AL96" s="86"/>
      <c r="AM96" s="86"/>
      <c r="AN96" s="86"/>
      <c r="AO96" s="86"/>
      <c r="AP96" s="115"/>
      <c r="AQ96" s="116"/>
      <c r="AR96" s="116"/>
      <c r="AS96" s="136"/>
      <c r="AT96" s="116"/>
      <c r="AU96" s="86"/>
      <c r="AV96" s="86"/>
      <c r="AW96" s="86"/>
      <c r="AX96" s="86"/>
      <c r="AY96" s="86"/>
      <c r="AZ96" s="90"/>
      <c r="BA96" s="90"/>
      <c r="BB96" s="86"/>
      <c r="BC96" s="116"/>
      <c r="BD96" s="116"/>
      <c r="BE96" s="116"/>
      <c r="BF96" s="86"/>
      <c r="BG96" s="91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261"/>
      <c r="CG96" s="336">
        <f>IF(OR($E96="",$E96=0),0, ROUND(100/(VLOOKUP($I96,'IPF Formula'!$A$3:$F$10,4,FALSE)-VLOOKUP($I96,'IPF Formula'!$A$3:$F$10,5,FALSE)*EXP(-VLOOKUP($I96,'IPF Formula'!$A$3:$F$10,6,FALSE)*$E96)),6))</f>
        <v>0</v>
      </c>
    </row>
    <row r="97" spans="1:85" s="263" customFormat="1" ht="15" x14ac:dyDescent="0.2">
      <c r="A97" s="84"/>
      <c r="B97" s="85"/>
      <c r="C97" s="84"/>
      <c r="D97" s="88"/>
      <c r="E97" s="88"/>
      <c r="F97" s="201"/>
      <c r="G97" s="88"/>
      <c r="H97" s="216"/>
      <c r="I97" s="220"/>
      <c r="J97" s="202"/>
      <c r="K97" s="88"/>
      <c r="L97" s="203"/>
      <c r="M97" s="203"/>
      <c r="N97" s="201"/>
      <c r="O97" s="202"/>
      <c r="P97" s="88"/>
      <c r="Q97" s="203"/>
      <c r="R97" s="203"/>
      <c r="S97" s="201"/>
      <c r="T97" s="201"/>
      <c r="U97" s="88"/>
      <c r="V97" s="203"/>
      <c r="W97" s="203"/>
      <c r="X97" s="201"/>
      <c r="Y97" s="201"/>
      <c r="Z97" s="87"/>
      <c r="AA97" s="224"/>
      <c r="AB97" s="201"/>
      <c r="AC97" s="335"/>
      <c r="AD97" s="224"/>
      <c r="AE97" s="88"/>
      <c r="AF97" s="88"/>
      <c r="AG97" s="86"/>
      <c r="AH97" s="86"/>
      <c r="AI97" s="89"/>
      <c r="AJ97" s="86"/>
      <c r="AK97" s="86"/>
      <c r="AL97" s="86"/>
      <c r="AM97" s="86"/>
      <c r="AN97" s="86"/>
      <c r="AO97" s="86"/>
      <c r="AP97" s="115"/>
      <c r="AQ97" s="116"/>
      <c r="AR97" s="116"/>
      <c r="AS97" s="136"/>
      <c r="AT97" s="116"/>
      <c r="AU97" s="86"/>
      <c r="AV97" s="86"/>
      <c r="AW97" s="86"/>
      <c r="AX97" s="86"/>
      <c r="AY97" s="86"/>
      <c r="AZ97" s="90"/>
      <c r="BA97" s="90"/>
      <c r="BB97" s="86"/>
      <c r="BC97" s="116"/>
      <c r="BD97" s="116"/>
      <c r="BE97" s="116"/>
      <c r="BF97" s="86"/>
      <c r="BG97" s="91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261"/>
      <c r="CG97" s="336">
        <f>IF(OR($E97="",$E97=0),0, ROUND(100/(VLOOKUP($I97,'IPF Formula'!$A$3:$F$10,4,FALSE)-VLOOKUP($I97,'IPF Formula'!$A$3:$F$10,5,FALSE)*EXP(-VLOOKUP($I97,'IPF Formula'!$A$3:$F$10,6,FALSE)*$E97)),6))</f>
        <v>0</v>
      </c>
    </row>
    <row r="98" spans="1:85" s="263" customFormat="1" ht="15" x14ac:dyDescent="0.2">
      <c r="A98" s="84"/>
      <c r="B98" s="85"/>
      <c r="C98" s="84"/>
      <c r="D98" s="88"/>
      <c r="E98" s="88"/>
      <c r="F98" s="201"/>
      <c r="G98" s="88"/>
      <c r="H98" s="216"/>
      <c r="I98" s="220"/>
      <c r="J98" s="202"/>
      <c r="K98" s="88"/>
      <c r="L98" s="203"/>
      <c r="M98" s="203"/>
      <c r="N98" s="201"/>
      <c r="O98" s="202"/>
      <c r="P98" s="88"/>
      <c r="Q98" s="203"/>
      <c r="R98" s="203"/>
      <c r="S98" s="201"/>
      <c r="T98" s="201"/>
      <c r="U98" s="88"/>
      <c r="V98" s="203"/>
      <c r="W98" s="203"/>
      <c r="X98" s="201"/>
      <c r="Y98" s="201"/>
      <c r="Z98" s="87"/>
      <c r="AA98" s="224"/>
      <c r="AB98" s="201"/>
      <c r="AC98" s="335"/>
      <c r="AD98" s="224"/>
      <c r="AE98" s="88"/>
      <c r="AF98" s="88"/>
      <c r="AG98" s="86"/>
      <c r="AH98" s="86"/>
      <c r="AI98" s="89"/>
      <c r="AJ98" s="86"/>
      <c r="AK98" s="86"/>
      <c r="AL98" s="86"/>
      <c r="AM98" s="86"/>
      <c r="AN98" s="86"/>
      <c r="AO98" s="86"/>
      <c r="AP98" s="115"/>
      <c r="AQ98" s="116"/>
      <c r="AR98" s="116"/>
      <c r="AS98" s="136"/>
      <c r="AT98" s="116"/>
      <c r="AU98" s="86"/>
      <c r="AV98" s="86"/>
      <c r="AW98" s="86"/>
      <c r="AX98" s="86"/>
      <c r="AY98" s="86"/>
      <c r="AZ98" s="90"/>
      <c r="BA98" s="90"/>
      <c r="BB98" s="86"/>
      <c r="BC98" s="116"/>
      <c r="BD98" s="116"/>
      <c r="BE98" s="116"/>
      <c r="BF98" s="86"/>
      <c r="BG98" s="91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261"/>
      <c r="CG98" s="336">
        <f>IF(OR($E98="",$E98=0),0, ROUND(100/(VLOOKUP($I98,'IPF Formula'!$A$3:$F$10,4,FALSE)-VLOOKUP($I98,'IPF Formula'!$A$3:$F$10,5,FALSE)*EXP(-VLOOKUP($I98,'IPF Formula'!$A$3:$F$10,6,FALSE)*$E98)),6))</f>
        <v>0</v>
      </c>
    </row>
    <row r="99" spans="1:85" s="263" customFormat="1" ht="15" x14ac:dyDescent="0.2">
      <c r="A99" s="84"/>
      <c r="B99" s="85"/>
      <c r="C99" s="84"/>
      <c r="D99" s="88"/>
      <c r="E99" s="88"/>
      <c r="F99" s="201"/>
      <c r="G99" s="88"/>
      <c r="H99" s="216"/>
      <c r="I99" s="220"/>
      <c r="J99" s="202"/>
      <c r="K99" s="88"/>
      <c r="L99" s="203"/>
      <c r="M99" s="203"/>
      <c r="N99" s="201"/>
      <c r="O99" s="202"/>
      <c r="P99" s="88"/>
      <c r="Q99" s="203"/>
      <c r="R99" s="203"/>
      <c r="S99" s="201"/>
      <c r="T99" s="201"/>
      <c r="U99" s="88"/>
      <c r="V99" s="203"/>
      <c r="W99" s="203"/>
      <c r="X99" s="201"/>
      <c r="Y99" s="201"/>
      <c r="Z99" s="87"/>
      <c r="AA99" s="224"/>
      <c r="AB99" s="201"/>
      <c r="AC99" s="335"/>
      <c r="AD99" s="224"/>
      <c r="AE99" s="88"/>
      <c r="AF99" s="88"/>
      <c r="AG99" s="86"/>
      <c r="AH99" s="86"/>
      <c r="AI99" s="89"/>
      <c r="AJ99" s="86"/>
      <c r="AK99" s="86"/>
      <c r="AL99" s="86"/>
      <c r="AM99" s="86"/>
      <c r="AN99" s="86"/>
      <c r="AO99" s="86"/>
      <c r="AP99" s="115"/>
      <c r="AQ99" s="116"/>
      <c r="AR99" s="116"/>
      <c r="AS99" s="136"/>
      <c r="AT99" s="116"/>
      <c r="AU99" s="86"/>
      <c r="AV99" s="86"/>
      <c r="AW99" s="86"/>
      <c r="AX99" s="86"/>
      <c r="AY99" s="86"/>
      <c r="AZ99" s="90"/>
      <c r="BA99" s="90"/>
      <c r="BB99" s="86"/>
      <c r="BC99" s="116"/>
      <c r="BD99" s="116"/>
      <c r="BE99" s="116"/>
      <c r="BF99" s="86"/>
      <c r="BG99" s="91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261"/>
      <c r="CG99" s="336">
        <f>IF(OR($E99="",$E99=0),0, ROUND(100/(VLOOKUP($I99,'IPF Formula'!$A$3:$F$10,4,FALSE)-VLOOKUP($I99,'IPF Formula'!$A$3:$F$10,5,FALSE)*EXP(-VLOOKUP($I99,'IPF Formula'!$A$3:$F$10,6,FALSE)*$E99)),6))</f>
        <v>0</v>
      </c>
    </row>
    <row r="100" spans="1:85" s="263" customFormat="1" ht="15" x14ac:dyDescent="0.2">
      <c r="A100" s="84"/>
      <c r="B100" s="85"/>
      <c r="C100" s="84"/>
      <c r="D100" s="88"/>
      <c r="E100" s="88"/>
      <c r="F100" s="201"/>
      <c r="G100" s="88"/>
      <c r="H100" s="216"/>
      <c r="I100" s="220"/>
      <c r="J100" s="202"/>
      <c r="K100" s="88"/>
      <c r="L100" s="203"/>
      <c r="M100" s="203"/>
      <c r="N100" s="201"/>
      <c r="O100" s="202"/>
      <c r="P100" s="88"/>
      <c r="Q100" s="203"/>
      <c r="R100" s="203"/>
      <c r="S100" s="201"/>
      <c r="T100" s="201"/>
      <c r="U100" s="88"/>
      <c r="V100" s="203"/>
      <c r="W100" s="203"/>
      <c r="X100" s="201"/>
      <c r="Y100" s="201"/>
      <c r="Z100" s="87"/>
      <c r="AA100" s="224"/>
      <c r="AB100" s="201"/>
      <c r="AC100" s="335"/>
      <c r="AD100" s="224"/>
      <c r="AE100" s="88"/>
      <c r="AF100" s="88"/>
      <c r="AG100" s="86"/>
      <c r="AH100" s="86"/>
      <c r="AI100" s="89"/>
      <c r="AJ100" s="86"/>
      <c r="AK100" s="86"/>
      <c r="AL100" s="86"/>
      <c r="AM100" s="86"/>
      <c r="AN100" s="86"/>
      <c r="AO100" s="86"/>
      <c r="AP100" s="115"/>
      <c r="AQ100" s="116"/>
      <c r="AR100" s="116"/>
      <c r="AS100" s="136"/>
      <c r="AT100" s="116"/>
      <c r="AU100" s="86"/>
      <c r="AV100" s="86"/>
      <c r="AW100" s="86"/>
      <c r="AX100" s="86"/>
      <c r="AY100" s="86"/>
      <c r="AZ100" s="90"/>
      <c r="BA100" s="90"/>
      <c r="BB100" s="86"/>
      <c r="BC100" s="116"/>
      <c r="BD100" s="116"/>
      <c r="BE100" s="116"/>
      <c r="BF100" s="86"/>
      <c r="BG100" s="91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261"/>
      <c r="CG100" s="336">
        <f>IF(OR($E100="",$E100=0),0, ROUND(100/(VLOOKUP($I100,'IPF Formula'!$A$3:$F$10,4,FALSE)-VLOOKUP($I100,'IPF Formula'!$A$3:$F$10,5,FALSE)*EXP(-VLOOKUP($I100,'IPF Formula'!$A$3:$F$10,6,FALSE)*$E100)),6))</f>
        <v>0</v>
      </c>
    </row>
    <row r="101" spans="1:85" s="263" customFormat="1" ht="15" x14ac:dyDescent="0.2">
      <c r="A101" s="84"/>
      <c r="B101" s="85"/>
      <c r="C101" s="84"/>
      <c r="D101" s="88"/>
      <c r="E101" s="88"/>
      <c r="F101" s="201"/>
      <c r="G101" s="88"/>
      <c r="H101" s="216"/>
      <c r="I101" s="220"/>
      <c r="J101" s="202"/>
      <c r="K101" s="88"/>
      <c r="L101" s="203"/>
      <c r="M101" s="203"/>
      <c r="N101" s="201"/>
      <c r="O101" s="202"/>
      <c r="P101" s="88"/>
      <c r="Q101" s="203"/>
      <c r="R101" s="203"/>
      <c r="S101" s="201"/>
      <c r="T101" s="201"/>
      <c r="U101" s="88"/>
      <c r="V101" s="203"/>
      <c r="W101" s="203"/>
      <c r="X101" s="201"/>
      <c r="Y101" s="201"/>
      <c r="Z101" s="87"/>
      <c r="AA101" s="224"/>
      <c r="AB101" s="201"/>
      <c r="AC101" s="335"/>
      <c r="AD101" s="224"/>
      <c r="AE101" s="88"/>
      <c r="AF101" s="88"/>
      <c r="AG101" s="86"/>
      <c r="AH101" s="86"/>
      <c r="AI101" s="89"/>
      <c r="AJ101" s="86"/>
      <c r="AK101" s="86"/>
      <c r="AL101" s="86"/>
      <c r="AM101" s="86"/>
      <c r="AN101" s="86"/>
      <c r="AO101" s="86"/>
      <c r="AP101" s="115"/>
      <c r="AQ101" s="116"/>
      <c r="AR101" s="116"/>
      <c r="AS101" s="136"/>
      <c r="AT101" s="116"/>
      <c r="AU101" s="86"/>
      <c r="AV101" s="86"/>
      <c r="AW101" s="86"/>
      <c r="AX101" s="86"/>
      <c r="AY101" s="86"/>
      <c r="AZ101" s="90"/>
      <c r="BA101" s="90"/>
      <c r="BB101" s="86"/>
      <c r="BC101" s="116"/>
      <c r="BD101" s="116"/>
      <c r="BE101" s="116"/>
      <c r="BF101" s="86"/>
      <c r="BG101" s="91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261"/>
      <c r="CG101" s="336">
        <f>IF(OR($E101="",$E101=0),0, ROUND(100/(VLOOKUP($I101,'IPF Formula'!$A$3:$F$10,4,FALSE)-VLOOKUP($I101,'IPF Formula'!$A$3:$F$10,5,FALSE)*EXP(-VLOOKUP($I101,'IPF Formula'!$A$3:$F$10,6,FALSE)*$E101)),6))</f>
        <v>0</v>
      </c>
    </row>
    <row r="102" spans="1:85" s="263" customFormat="1" ht="15" x14ac:dyDescent="0.2">
      <c r="A102" s="84"/>
      <c r="B102" s="85"/>
      <c r="C102" s="84"/>
      <c r="D102" s="88"/>
      <c r="E102" s="88"/>
      <c r="F102" s="201"/>
      <c r="G102" s="88"/>
      <c r="H102" s="216"/>
      <c r="I102" s="220"/>
      <c r="J102" s="202"/>
      <c r="K102" s="88"/>
      <c r="L102" s="203"/>
      <c r="M102" s="203"/>
      <c r="N102" s="201"/>
      <c r="O102" s="202"/>
      <c r="P102" s="88"/>
      <c r="Q102" s="203"/>
      <c r="R102" s="203"/>
      <c r="S102" s="201"/>
      <c r="T102" s="201"/>
      <c r="U102" s="88"/>
      <c r="V102" s="203"/>
      <c r="W102" s="203"/>
      <c r="X102" s="201"/>
      <c r="Y102" s="201"/>
      <c r="Z102" s="87"/>
      <c r="AA102" s="224"/>
      <c r="AB102" s="201"/>
      <c r="AC102" s="335"/>
      <c r="AD102" s="224"/>
      <c r="AE102" s="88"/>
      <c r="AF102" s="88"/>
      <c r="AG102" s="86"/>
      <c r="AH102" s="86"/>
      <c r="AI102" s="89"/>
      <c r="AJ102" s="86"/>
      <c r="AK102" s="86"/>
      <c r="AL102" s="86"/>
      <c r="AM102" s="86"/>
      <c r="AN102" s="86"/>
      <c r="AO102" s="86"/>
      <c r="AP102" s="115"/>
      <c r="AQ102" s="116"/>
      <c r="AR102" s="116"/>
      <c r="AS102" s="136"/>
      <c r="AT102" s="116"/>
      <c r="AU102" s="86"/>
      <c r="AV102" s="86"/>
      <c r="AW102" s="86"/>
      <c r="AX102" s="86"/>
      <c r="AY102" s="86"/>
      <c r="AZ102" s="90"/>
      <c r="BA102" s="90"/>
      <c r="BB102" s="86"/>
      <c r="BC102" s="116"/>
      <c r="BD102" s="116"/>
      <c r="BE102" s="116"/>
      <c r="BF102" s="86"/>
      <c r="BG102" s="91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261"/>
      <c r="CG102" s="336">
        <f>IF(OR($E102="",$E102=0),0, ROUND(100/(VLOOKUP($I102,'IPF Formula'!$A$3:$F$10,4,FALSE)-VLOOKUP($I102,'IPF Formula'!$A$3:$F$10,5,FALSE)*EXP(-VLOOKUP($I102,'IPF Formula'!$A$3:$F$10,6,FALSE)*$E102)),6))</f>
        <v>0</v>
      </c>
    </row>
    <row r="103" spans="1:85" s="263" customFormat="1" ht="15" x14ac:dyDescent="0.2">
      <c r="A103" s="84"/>
      <c r="B103" s="85"/>
      <c r="C103" s="84"/>
      <c r="D103" s="88"/>
      <c r="E103" s="88"/>
      <c r="F103" s="201"/>
      <c r="G103" s="88"/>
      <c r="H103" s="216"/>
      <c r="I103" s="220"/>
      <c r="J103" s="202"/>
      <c r="K103" s="88"/>
      <c r="L103" s="203"/>
      <c r="M103" s="203"/>
      <c r="N103" s="201"/>
      <c r="O103" s="202"/>
      <c r="P103" s="88"/>
      <c r="Q103" s="203"/>
      <c r="R103" s="203"/>
      <c r="S103" s="201"/>
      <c r="T103" s="201"/>
      <c r="U103" s="88"/>
      <c r="V103" s="203"/>
      <c r="W103" s="203"/>
      <c r="X103" s="201"/>
      <c r="Y103" s="201"/>
      <c r="Z103" s="87"/>
      <c r="AA103" s="224"/>
      <c r="AB103" s="201"/>
      <c r="AC103" s="335"/>
      <c r="AD103" s="224"/>
      <c r="AE103" s="88"/>
      <c r="AF103" s="88"/>
      <c r="AG103" s="86"/>
      <c r="AH103" s="86"/>
      <c r="AI103" s="89"/>
      <c r="AJ103" s="86"/>
      <c r="AK103" s="86"/>
      <c r="AL103" s="86"/>
      <c r="AM103" s="86"/>
      <c r="AN103" s="86"/>
      <c r="AO103" s="86"/>
      <c r="AP103" s="115"/>
      <c r="AQ103" s="116"/>
      <c r="AR103" s="116"/>
      <c r="AS103" s="136"/>
      <c r="AT103" s="116"/>
      <c r="AU103" s="86"/>
      <c r="AV103" s="86"/>
      <c r="AW103" s="86"/>
      <c r="AX103" s="86"/>
      <c r="AY103" s="86"/>
      <c r="AZ103" s="90"/>
      <c r="BA103" s="90"/>
      <c r="BB103" s="86"/>
      <c r="BC103" s="116"/>
      <c r="BD103" s="116"/>
      <c r="BE103" s="116"/>
      <c r="BF103" s="86"/>
      <c r="BG103" s="91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261"/>
      <c r="CG103" s="336">
        <f>IF(OR($E103="",$E103=0),0, ROUND(100/(VLOOKUP($I103,'IPF Formula'!$A$3:$F$10,4,FALSE)-VLOOKUP($I103,'IPF Formula'!$A$3:$F$10,5,FALSE)*EXP(-VLOOKUP($I103,'IPF Formula'!$A$3:$F$10,6,FALSE)*$E103)),6))</f>
        <v>0</v>
      </c>
    </row>
    <row r="104" spans="1:85" s="263" customFormat="1" ht="15" x14ac:dyDescent="0.2">
      <c r="A104" s="84"/>
      <c r="B104" s="85"/>
      <c r="C104" s="84"/>
      <c r="D104" s="88"/>
      <c r="E104" s="88"/>
      <c r="F104" s="201"/>
      <c r="G104" s="88"/>
      <c r="H104" s="216"/>
      <c r="I104" s="220"/>
      <c r="J104" s="202"/>
      <c r="K104" s="88"/>
      <c r="L104" s="203"/>
      <c r="M104" s="203"/>
      <c r="N104" s="201"/>
      <c r="O104" s="202"/>
      <c r="P104" s="88"/>
      <c r="Q104" s="203"/>
      <c r="R104" s="203"/>
      <c r="S104" s="201"/>
      <c r="T104" s="201"/>
      <c r="U104" s="88"/>
      <c r="V104" s="203"/>
      <c r="W104" s="203"/>
      <c r="X104" s="201"/>
      <c r="Y104" s="201"/>
      <c r="Z104" s="87"/>
      <c r="AA104" s="224"/>
      <c r="AB104" s="201"/>
      <c r="AC104" s="335"/>
      <c r="AD104" s="224"/>
      <c r="AE104" s="88"/>
      <c r="AF104" s="88"/>
      <c r="AG104" s="86"/>
      <c r="AH104" s="86"/>
      <c r="AI104" s="89"/>
      <c r="AJ104" s="86"/>
      <c r="AK104" s="86"/>
      <c r="AL104" s="86"/>
      <c r="AM104" s="86"/>
      <c r="AN104" s="86"/>
      <c r="AO104" s="86"/>
      <c r="AP104" s="115"/>
      <c r="AQ104" s="116"/>
      <c r="AR104" s="116"/>
      <c r="AS104" s="136"/>
      <c r="AT104" s="116"/>
      <c r="AU104" s="86"/>
      <c r="AV104" s="86"/>
      <c r="AW104" s="86"/>
      <c r="AX104" s="86"/>
      <c r="AY104" s="86"/>
      <c r="AZ104" s="90"/>
      <c r="BA104" s="90"/>
      <c r="BB104" s="86"/>
      <c r="BC104" s="116"/>
      <c r="BD104" s="116"/>
      <c r="BE104" s="116"/>
      <c r="BF104" s="86"/>
      <c r="BG104" s="91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261"/>
      <c r="CG104" s="336">
        <f>IF(OR($E104="",$E104=0),0, ROUND(100/(VLOOKUP($I104,'IPF Formula'!$A$3:$F$10,4,FALSE)-VLOOKUP($I104,'IPF Formula'!$A$3:$F$10,5,FALSE)*EXP(-VLOOKUP($I104,'IPF Formula'!$A$3:$F$10,6,FALSE)*$E104)),6))</f>
        <v>0</v>
      </c>
    </row>
    <row r="105" spans="1:85" s="263" customFormat="1" ht="15" x14ac:dyDescent="0.2">
      <c r="A105" s="84"/>
      <c r="B105" s="85"/>
      <c r="C105" s="84"/>
      <c r="D105" s="88"/>
      <c r="E105" s="88"/>
      <c r="F105" s="201"/>
      <c r="G105" s="88"/>
      <c r="H105" s="216"/>
      <c r="I105" s="220"/>
      <c r="J105" s="202"/>
      <c r="K105" s="88"/>
      <c r="L105" s="203"/>
      <c r="M105" s="203"/>
      <c r="N105" s="201"/>
      <c r="O105" s="202"/>
      <c r="P105" s="88"/>
      <c r="Q105" s="203"/>
      <c r="R105" s="203"/>
      <c r="S105" s="201"/>
      <c r="T105" s="201"/>
      <c r="U105" s="88"/>
      <c r="V105" s="203"/>
      <c r="W105" s="203"/>
      <c r="X105" s="201"/>
      <c r="Y105" s="201"/>
      <c r="Z105" s="87"/>
      <c r="AA105" s="224"/>
      <c r="AB105" s="201"/>
      <c r="AC105" s="335"/>
      <c r="AD105" s="224"/>
      <c r="AE105" s="88"/>
      <c r="AF105" s="88"/>
      <c r="AG105" s="86"/>
      <c r="AH105" s="86"/>
      <c r="AI105" s="89"/>
      <c r="AJ105" s="86"/>
      <c r="AK105" s="86"/>
      <c r="AL105" s="86"/>
      <c r="AM105" s="86"/>
      <c r="AN105" s="86"/>
      <c r="AO105" s="86"/>
      <c r="AP105" s="115"/>
      <c r="AQ105" s="116"/>
      <c r="AR105" s="116"/>
      <c r="AS105" s="136"/>
      <c r="AT105" s="116"/>
      <c r="AU105" s="86"/>
      <c r="AV105" s="86"/>
      <c r="AW105" s="86"/>
      <c r="AX105" s="86"/>
      <c r="AY105" s="86"/>
      <c r="AZ105" s="90"/>
      <c r="BA105" s="90"/>
      <c r="BB105" s="86"/>
      <c r="BC105" s="116"/>
      <c r="BD105" s="116"/>
      <c r="BE105" s="116"/>
      <c r="BF105" s="86"/>
      <c r="BG105" s="91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261"/>
      <c r="CG105" s="336">
        <f>IF(OR($E105="",$E105=0),0, ROUND(100/(VLOOKUP($I105,'IPF Formula'!$A$3:$F$10,4,FALSE)-VLOOKUP($I105,'IPF Formula'!$A$3:$F$10,5,FALSE)*EXP(-VLOOKUP($I105,'IPF Formula'!$A$3:$F$10,6,FALSE)*$E105)),6))</f>
        <v>0</v>
      </c>
    </row>
    <row r="106" spans="1:85" s="263" customFormat="1" ht="15" x14ac:dyDescent="0.2">
      <c r="A106" s="84"/>
      <c r="B106" s="85"/>
      <c r="C106" s="84"/>
      <c r="D106" s="88"/>
      <c r="E106" s="88"/>
      <c r="F106" s="201"/>
      <c r="G106" s="88"/>
      <c r="H106" s="216"/>
      <c r="I106" s="220"/>
      <c r="J106" s="202"/>
      <c r="K106" s="88"/>
      <c r="L106" s="203"/>
      <c r="M106" s="203"/>
      <c r="N106" s="201"/>
      <c r="O106" s="202"/>
      <c r="P106" s="88"/>
      <c r="Q106" s="203"/>
      <c r="R106" s="203"/>
      <c r="S106" s="201"/>
      <c r="T106" s="201"/>
      <c r="U106" s="88"/>
      <c r="V106" s="203"/>
      <c r="W106" s="203"/>
      <c r="X106" s="201"/>
      <c r="Y106" s="201"/>
      <c r="Z106" s="87"/>
      <c r="AA106" s="224"/>
      <c r="AB106" s="201"/>
      <c r="AC106" s="335"/>
      <c r="AD106" s="224"/>
      <c r="AE106" s="88"/>
      <c r="AF106" s="88"/>
      <c r="AG106" s="86"/>
      <c r="AH106" s="86"/>
      <c r="AI106" s="89"/>
      <c r="AJ106" s="86"/>
      <c r="AK106" s="86"/>
      <c r="AL106" s="86"/>
      <c r="AM106" s="86"/>
      <c r="AN106" s="86"/>
      <c r="AO106" s="86"/>
      <c r="AP106" s="115"/>
      <c r="AQ106" s="116"/>
      <c r="AR106" s="116"/>
      <c r="AS106" s="136"/>
      <c r="AT106" s="116"/>
      <c r="AU106" s="86"/>
      <c r="AV106" s="86"/>
      <c r="AW106" s="86"/>
      <c r="AX106" s="86"/>
      <c r="AY106" s="86"/>
      <c r="AZ106" s="90"/>
      <c r="BA106" s="90"/>
      <c r="BB106" s="86"/>
      <c r="BC106" s="116"/>
      <c r="BD106" s="116"/>
      <c r="BE106" s="116"/>
      <c r="BF106" s="86"/>
      <c r="BG106" s="91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261"/>
      <c r="CG106" s="336">
        <f>IF(OR($E106="",$E106=0),0, ROUND(100/(VLOOKUP($I106,'IPF Formula'!$A$3:$F$10,4,FALSE)-VLOOKUP($I106,'IPF Formula'!$A$3:$F$10,5,FALSE)*EXP(-VLOOKUP($I106,'IPF Formula'!$A$3:$F$10,6,FALSE)*$E106)),6))</f>
        <v>0</v>
      </c>
    </row>
    <row r="107" spans="1:85" s="263" customFormat="1" ht="15" x14ac:dyDescent="0.2">
      <c r="A107" s="84"/>
      <c r="B107" s="85"/>
      <c r="C107" s="84"/>
      <c r="D107" s="88"/>
      <c r="E107" s="88"/>
      <c r="F107" s="201"/>
      <c r="G107" s="88"/>
      <c r="H107" s="216"/>
      <c r="I107" s="220"/>
      <c r="J107" s="202"/>
      <c r="K107" s="88"/>
      <c r="L107" s="203"/>
      <c r="M107" s="203"/>
      <c r="N107" s="201"/>
      <c r="O107" s="202"/>
      <c r="P107" s="88"/>
      <c r="Q107" s="203"/>
      <c r="R107" s="203"/>
      <c r="S107" s="201"/>
      <c r="T107" s="201"/>
      <c r="U107" s="88"/>
      <c r="V107" s="203"/>
      <c r="W107" s="203"/>
      <c r="X107" s="201"/>
      <c r="Y107" s="201"/>
      <c r="Z107" s="87"/>
      <c r="AA107" s="224"/>
      <c r="AB107" s="201"/>
      <c r="AC107" s="335"/>
      <c r="AD107" s="224"/>
      <c r="AE107" s="88"/>
      <c r="AF107" s="88"/>
      <c r="AG107" s="86"/>
      <c r="AH107" s="86"/>
      <c r="AI107" s="89"/>
      <c r="AJ107" s="86"/>
      <c r="AK107" s="86"/>
      <c r="AL107" s="86"/>
      <c r="AM107" s="86"/>
      <c r="AN107" s="86"/>
      <c r="AO107" s="86"/>
      <c r="AP107" s="115"/>
      <c r="AQ107" s="116"/>
      <c r="AR107" s="116"/>
      <c r="AS107" s="136"/>
      <c r="AT107" s="116"/>
      <c r="AU107" s="86"/>
      <c r="AV107" s="86"/>
      <c r="AW107" s="86"/>
      <c r="AX107" s="86"/>
      <c r="AY107" s="86"/>
      <c r="AZ107" s="90"/>
      <c r="BA107" s="90"/>
      <c r="BB107" s="86"/>
      <c r="BC107" s="116"/>
      <c r="BD107" s="116"/>
      <c r="BE107" s="116"/>
      <c r="BF107" s="86"/>
      <c r="BG107" s="91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261"/>
      <c r="CG107" s="336">
        <f>IF(OR($E107="",$E107=0),0, ROUND(100/(VLOOKUP($I107,'IPF Formula'!$A$3:$F$10,4,FALSE)-VLOOKUP($I107,'IPF Formula'!$A$3:$F$10,5,FALSE)*EXP(-VLOOKUP($I107,'IPF Formula'!$A$3:$F$10,6,FALSE)*$E107)),6))</f>
        <v>0</v>
      </c>
    </row>
    <row r="108" spans="1:85" s="263" customFormat="1" ht="15.75" x14ac:dyDescent="0.2">
      <c r="A108" s="84"/>
      <c r="B108" s="85"/>
      <c r="C108" s="84"/>
      <c r="D108" s="88"/>
      <c r="E108" s="88"/>
      <c r="F108" s="201"/>
      <c r="G108" s="88"/>
      <c r="H108" s="216"/>
      <c r="I108" s="220"/>
      <c r="J108" s="202"/>
      <c r="K108" s="341"/>
      <c r="L108" s="203"/>
      <c r="M108" s="203"/>
      <c r="N108" s="201"/>
      <c r="O108" s="202"/>
      <c r="P108" s="341"/>
      <c r="Q108" s="203"/>
      <c r="R108" s="203"/>
      <c r="S108" s="87"/>
      <c r="T108" s="87"/>
      <c r="U108" s="341"/>
      <c r="V108" s="203"/>
      <c r="W108" s="203"/>
      <c r="X108" s="201"/>
      <c r="Y108" s="201"/>
      <c r="Z108" s="87"/>
      <c r="AA108" s="224"/>
      <c r="AB108" s="201"/>
      <c r="AC108" s="335"/>
      <c r="AD108" s="224"/>
      <c r="AE108" s="88"/>
      <c r="AF108" s="88"/>
      <c r="AG108" s="86"/>
      <c r="AH108" s="86"/>
      <c r="AI108" s="89"/>
      <c r="AJ108" s="86"/>
      <c r="AK108" s="86"/>
      <c r="AL108" s="86"/>
      <c r="AM108" s="86"/>
      <c r="AN108" s="86"/>
      <c r="AO108" s="86"/>
      <c r="AP108" s="115"/>
      <c r="AQ108" s="116"/>
      <c r="AR108" s="116"/>
      <c r="AS108" s="136"/>
      <c r="AT108" s="116"/>
      <c r="AU108" s="86"/>
      <c r="AV108" s="86"/>
      <c r="AW108" s="86"/>
      <c r="AX108" s="86"/>
      <c r="AY108" s="86"/>
      <c r="AZ108" s="90"/>
      <c r="BA108" s="90"/>
      <c r="BB108" s="86"/>
      <c r="BC108" s="116"/>
      <c r="BD108" s="116"/>
      <c r="BE108" s="116"/>
      <c r="BF108" s="86"/>
      <c r="BG108" s="91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261"/>
      <c r="CG108" s="337"/>
    </row>
    <row r="109" spans="1:85" s="263" customFormat="1" ht="15.75" x14ac:dyDescent="0.2">
      <c r="A109" s="84"/>
      <c r="B109" s="85"/>
      <c r="C109" s="84"/>
      <c r="D109" s="88"/>
      <c r="E109" s="88"/>
      <c r="F109" s="201"/>
      <c r="G109" s="88"/>
      <c r="H109" s="216"/>
      <c r="I109" s="220"/>
      <c r="J109" s="202"/>
      <c r="K109" s="341"/>
      <c r="L109" s="203"/>
      <c r="M109" s="203"/>
      <c r="N109" s="201"/>
      <c r="O109" s="202"/>
      <c r="P109" s="341"/>
      <c r="Q109" s="203"/>
      <c r="R109" s="203"/>
      <c r="S109" s="87"/>
      <c r="T109" s="87"/>
      <c r="U109" s="341"/>
      <c r="V109" s="203"/>
      <c r="W109" s="203"/>
      <c r="X109" s="201"/>
      <c r="Y109" s="201"/>
      <c r="Z109" s="87"/>
      <c r="AA109" s="224"/>
      <c r="AB109" s="201"/>
      <c r="AC109" s="335"/>
      <c r="AD109" s="224"/>
      <c r="AE109" s="88"/>
      <c r="AF109" s="88"/>
      <c r="AG109" s="86"/>
      <c r="AH109" s="86"/>
      <c r="AI109" s="89"/>
      <c r="AJ109" s="86"/>
      <c r="AK109" s="86"/>
      <c r="AL109" s="86"/>
      <c r="AM109" s="86"/>
      <c r="AN109" s="86"/>
      <c r="AO109" s="86"/>
      <c r="AP109" s="115"/>
      <c r="AQ109" s="116"/>
      <c r="AR109" s="116"/>
      <c r="AS109" s="136"/>
      <c r="AT109" s="116"/>
      <c r="AU109" s="86"/>
      <c r="AV109" s="86"/>
      <c r="AW109" s="86"/>
      <c r="AX109" s="86"/>
      <c r="AY109" s="86"/>
      <c r="AZ109" s="90"/>
      <c r="BA109" s="90"/>
      <c r="BB109" s="86"/>
      <c r="BC109" s="116"/>
      <c r="BD109" s="116"/>
      <c r="BE109" s="116"/>
      <c r="BF109" s="86"/>
      <c r="BG109" s="91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261"/>
      <c r="CG109" s="337"/>
    </row>
    <row r="110" spans="1:85" s="263" customFormat="1" ht="15.75" x14ac:dyDescent="0.2">
      <c r="A110" s="84"/>
      <c r="B110" s="85"/>
      <c r="C110" s="84"/>
      <c r="D110" s="88"/>
      <c r="E110" s="88"/>
      <c r="F110" s="201"/>
      <c r="G110" s="88"/>
      <c r="H110" s="216"/>
      <c r="I110" s="220"/>
      <c r="J110" s="202"/>
      <c r="K110" s="341"/>
      <c r="L110" s="203"/>
      <c r="M110" s="203"/>
      <c r="N110" s="201"/>
      <c r="O110" s="202"/>
      <c r="P110" s="341"/>
      <c r="Q110" s="203"/>
      <c r="R110" s="203"/>
      <c r="S110" s="87"/>
      <c r="T110" s="87"/>
      <c r="U110" s="341"/>
      <c r="V110" s="203"/>
      <c r="W110" s="203"/>
      <c r="X110" s="201"/>
      <c r="Y110" s="201"/>
      <c r="Z110" s="87"/>
      <c r="AA110" s="224"/>
      <c r="AB110" s="201"/>
      <c r="AC110" s="335"/>
      <c r="AD110" s="224"/>
      <c r="AE110" s="88"/>
      <c r="AF110" s="88"/>
      <c r="AG110" s="86"/>
      <c r="AH110" s="86"/>
      <c r="AI110" s="89"/>
      <c r="AJ110" s="86"/>
      <c r="AK110" s="86"/>
      <c r="AL110" s="86"/>
      <c r="AM110" s="86"/>
      <c r="AN110" s="86"/>
      <c r="AO110" s="86"/>
      <c r="AP110" s="115"/>
      <c r="AQ110" s="116"/>
      <c r="AR110" s="116"/>
      <c r="AS110" s="136"/>
      <c r="AT110" s="116"/>
      <c r="AU110" s="86"/>
      <c r="AV110" s="86"/>
      <c r="AW110" s="86"/>
      <c r="AX110" s="86"/>
      <c r="AY110" s="86"/>
      <c r="AZ110" s="90"/>
      <c r="BA110" s="90"/>
      <c r="BB110" s="86"/>
      <c r="BC110" s="116"/>
      <c r="BD110" s="116"/>
      <c r="BE110" s="116"/>
      <c r="BF110" s="86"/>
      <c r="BG110" s="91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261"/>
      <c r="CG110" s="337"/>
    </row>
    <row r="111" spans="1:85" s="263" customFormat="1" ht="15.75" x14ac:dyDescent="0.2">
      <c r="A111" s="84"/>
      <c r="B111" s="85"/>
      <c r="C111" s="84"/>
      <c r="D111" s="88"/>
      <c r="E111" s="88"/>
      <c r="F111" s="201"/>
      <c r="G111" s="88"/>
      <c r="H111" s="216"/>
      <c r="I111" s="220"/>
      <c r="J111" s="202"/>
      <c r="K111" s="341"/>
      <c r="L111" s="203"/>
      <c r="M111" s="203"/>
      <c r="N111" s="201"/>
      <c r="O111" s="202"/>
      <c r="P111" s="341"/>
      <c r="Q111" s="203"/>
      <c r="R111" s="203"/>
      <c r="S111" s="87"/>
      <c r="T111" s="87"/>
      <c r="U111" s="341"/>
      <c r="V111" s="203"/>
      <c r="W111" s="203"/>
      <c r="X111" s="201"/>
      <c r="Y111" s="201"/>
      <c r="Z111" s="87"/>
      <c r="AA111" s="224"/>
      <c r="AB111" s="201"/>
      <c r="AC111" s="335"/>
      <c r="AD111" s="224"/>
      <c r="AE111" s="88"/>
      <c r="AF111" s="88"/>
      <c r="AG111" s="86"/>
      <c r="AH111" s="86"/>
      <c r="AI111" s="89"/>
      <c r="AJ111" s="86"/>
      <c r="AK111" s="86"/>
      <c r="AL111" s="86"/>
      <c r="AM111" s="86"/>
      <c r="AN111" s="86"/>
      <c r="AO111" s="86"/>
      <c r="AP111" s="115"/>
      <c r="AQ111" s="116"/>
      <c r="AR111" s="116"/>
      <c r="AS111" s="136"/>
      <c r="AT111" s="116"/>
      <c r="AU111" s="86"/>
      <c r="AV111" s="86"/>
      <c r="AW111" s="86"/>
      <c r="AX111" s="86"/>
      <c r="AY111" s="86"/>
      <c r="AZ111" s="90"/>
      <c r="BA111" s="90"/>
      <c r="BB111" s="86"/>
      <c r="BC111" s="116"/>
      <c r="BD111" s="116"/>
      <c r="BE111" s="116"/>
      <c r="BF111" s="86"/>
      <c r="BG111" s="91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261"/>
      <c r="CG111" s="337"/>
    </row>
    <row r="112" spans="1:85" s="263" customFormat="1" ht="15.75" x14ac:dyDescent="0.2">
      <c r="A112" s="84"/>
      <c r="B112" s="85"/>
      <c r="C112" s="84"/>
      <c r="D112" s="88"/>
      <c r="E112" s="88"/>
      <c r="F112" s="201"/>
      <c r="G112" s="88"/>
      <c r="H112" s="216"/>
      <c r="I112" s="220"/>
      <c r="J112" s="202"/>
      <c r="K112" s="341"/>
      <c r="L112" s="203"/>
      <c r="M112" s="203"/>
      <c r="N112" s="201"/>
      <c r="O112" s="202"/>
      <c r="P112" s="341"/>
      <c r="Q112" s="203"/>
      <c r="R112" s="203"/>
      <c r="S112" s="87"/>
      <c r="T112" s="87"/>
      <c r="U112" s="341"/>
      <c r="V112" s="203"/>
      <c r="W112" s="203"/>
      <c r="X112" s="201"/>
      <c r="Y112" s="201"/>
      <c r="Z112" s="87"/>
      <c r="AA112" s="224"/>
      <c r="AB112" s="201"/>
      <c r="AC112" s="335"/>
      <c r="AD112" s="224"/>
      <c r="AE112" s="88"/>
      <c r="AF112" s="88"/>
      <c r="AG112" s="86"/>
      <c r="AH112" s="86"/>
      <c r="AI112" s="89"/>
      <c r="AJ112" s="86"/>
      <c r="AK112" s="86"/>
      <c r="AL112" s="86"/>
      <c r="AM112" s="86"/>
      <c r="AN112" s="86"/>
      <c r="AO112" s="86"/>
      <c r="AP112" s="115"/>
      <c r="AQ112" s="116"/>
      <c r="AR112" s="116"/>
      <c r="AS112" s="136"/>
      <c r="AT112" s="116"/>
      <c r="AU112" s="86"/>
      <c r="AV112" s="86"/>
      <c r="AW112" s="86"/>
      <c r="AX112" s="86"/>
      <c r="AY112" s="86"/>
      <c r="AZ112" s="90"/>
      <c r="BA112" s="90"/>
      <c r="BB112" s="86"/>
      <c r="BC112" s="116"/>
      <c r="BD112" s="116"/>
      <c r="BE112" s="116"/>
      <c r="BF112" s="86"/>
      <c r="BG112" s="91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261"/>
      <c r="CG112" s="337"/>
    </row>
    <row r="113" spans="1:85" s="263" customFormat="1" ht="15.75" x14ac:dyDescent="0.2">
      <c r="A113" s="84"/>
      <c r="B113" s="85"/>
      <c r="C113" s="84"/>
      <c r="D113" s="88"/>
      <c r="E113" s="88"/>
      <c r="F113" s="201"/>
      <c r="G113" s="88"/>
      <c r="H113" s="216"/>
      <c r="I113" s="220"/>
      <c r="J113" s="202"/>
      <c r="K113" s="341"/>
      <c r="L113" s="203"/>
      <c r="M113" s="203"/>
      <c r="N113" s="201"/>
      <c r="O113" s="202"/>
      <c r="P113" s="341"/>
      <c r="Q113" s="203"/>
      <c r="R113" s="203"/>
      <c r="S113" s="87"/>
      <c r="T113" s="87"/>
      <c r="U113" s="341"/>
      <c r="V113" s="203"/>
      <c r="W113" s="203"/>
      <c r="X113" s="201"/>
      <c r="Y113" s="201"/>
      <c r="Z113" s="87"/>
      <c r="AA113" s="224"/>
      <c r="AB113" s="201"/>
      <c r="AC113" s="335"/>
      <c r="AD113" s="224"/>
      <c r="AE113" s="88"/>
      <c r="AF113" s="88"/>
      <c r="AG113" s="86"/>
      <c r="AH113" s="86"/>
      <c r="AI113" s="89"/>
      <c r="AJ113" s="86"/>
      <c r="AK113" s="86"/>
      <c r="AL113" s="86"/>
      <c r="AM113" s="86"/>
      <c r="AN113" s="86"/>
      <c r="AO113" s="86"/>
      <c r="AP113" s="115"/>
      <c r="AQ113" s="116"/>
      <c r="AR113" s="116"/>
      <c r="AS113" s="136"/>
      <c r="AT113" s="116"/>
      <c r="AU113" s="86"/>
      <c r="AV113" s="86"/>
      <c r="AW113" s="86"/>
      <c r="AX113" s="86"/>
      <c r="AY113" s="86"/>
      <c r="AZ113" s="90"/>
      <c r="BA113" s="90"/>
      <c r="BB113" s="86"/>
      <c r="BC113" s="116"/>
      <c r="BD113" s="116"/>
      <c r="BE113" s="116"/>
      <c r="BF113" s="86"/>
      <c r="BG113" s="91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261"/>
      <c r="CG113" s="337"/>
    </row>
    <row r="114" spans="1:85" s="263" customFormat="1" ht="15.75" x14ac:dyDescent="0.2">
      <c r="A114" s="84"/>
      <c r="B114" s="85"/>
      <c r="C114" s="84"/>
      <c r="D114" s="88"/>
      <c r="E114" s="88"/>
      <c r="F114" s="201"/>
      <c r="G114" s="88"/>
      <c r="H114" s="216"/>
      <c r="I114" s="220"/>
      <c r="J114" s="202"/>
      <c r="K114" s="341"/>
      <c r="L114" s="203"/>
      <c r="M114" s="203"/>
      <c r="N114" s="201"/>
      <c r="O114" s="202"/>
      <c r="P114" s="341"/>
      <c r="Q114" s="203"/>
      <c r="R114" s="203"/>
      <c r="S114" s="87"/>
      <c r="T114" s="87"/>
      <c r="U114" s="341"/>
      <c r="V114" s="203"/>
      <c r="W114" s="203"/>
      <c r="X114" s="201"/>
      <c r="Y114" s="201"/>
      <c r="Z114" s="87"/>
      <c r="AA114" s="224"/>
      <c r="AB114" s="201"/>
      <c r="AC114" s="335"/>
      <c r="AD114" s="224"/>
      <c r="AE114" s="88"/>
      <c r="AF114" s="88"/>
      <c r="AG114" s="86"/>
      <c r="AH114" s="86"/>
      <c r="AI114" s="89"/>
      <c r="AJ114" s="86"/>
      <c r="AK114" s="86"/>
      <c r="AL114" s="86"/>
      <c r="AM114" s="86"/>
      <c r="AN114" s="86"/>
      <c r="AO114" s="86"/>
      <c r="AP114" s="115"/>
      <c r="AQ114" s="116"/>
      <c r="AR114" s="116"/>
      <c r="AS114" s="136"/>
      <c r="AT114" s="116"/>
      <c r="AU114" s="86"/>
      <c r="AV114" s="86"/>
      <c r="AW114" s="86"/>
      <c r="AX114" s="86"/>
      <c r="AY114" s="86"/>
      <c r="AZ114" s="90"/>
      <c r="BA114" s="90"/>
      <c r="BB114" s="86"/>
      <c r="BC114" s="116"/>
      <c r="BD114" s="116"/>
      <c r="BE114" s="116"/>
      <c r="BF114" s="86"/>
      <c r="BG114" s="91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261"/>
      <c r="CG114" s="337"/>
    </row>
    <row r="115" spans="1:85" s="263" customFormat="1" ht="15.75" x14ac:dyDescent="0.2">
      <c r="A115" s="84"/>
      <c r="B115" s="85"/>
      <c r="C115" s="84"/>
      <c r="D115" s="88"/>
      <c r="E115" s="88"/>
      <c r="F115" s="201"/>
      <c r="G115" s="88"/>
      <c r="H115" s="216"/>
      <c r="I115" s="220"/>
      <c r="J115" s="202"/>
      <c r="K115" s="341"/>
      <c r="L115" s="203"/>
      <c r="M115" s="203"/>
      <c r="N115" s="201"/>
      <c r="O115" s="202"/>
      <c r="P115" s="341"/>
      <c r="Q115" s="203"/>
      <c r="R115" s="203"/>
      <c r="S115" s="87"/>
      <c r="T115" s="87"/>
      <c r="U115" s="341"/>
      <c r="V115" s="203"/>
      <c r="W115" s="203"/>
      <c r="X115" s="201"/>
      <c r="Y115" s="201"/>
      <c r="Z115" s="87"/>
      <c r="AA115" s="224"/>
      <c r="AB115" s="201"/>
      <c r="AC115" s="335"/>
      <c r="AD115" s="224"/>
      <c r="AE115" s="88"/>
      <c r="AF115" s="88"/>
      <c r="AG115" s="86"/>
      <c r="AH115" s="86"/>
      <c r="AI115" s="89"/>
      <c r="AJ115" s="86"/>
      <c r="AK115" s="86"/>
      <c r="AL115" s="86"/>
      <c r="AM115" s="86"/>
      <c r="AN115" s="86"/>
      <c r="AO115" s="86"/>
      <c r="AP115" s="115"/>
      <c r="AQ115" s="116"/>
      <c r="AR115" s="116"/>
      <c r="AS115" s="136"/>
      <c r="AT115" s="116"/>
      <c r="AU115" s="86"/>
      <c r="AV115" s="86"/>
      <c r="AW115" s="86"/>
      <c r="AX115" s="86"/>
      <c r="AY115" s="86"/>
      <c r="AZ115" s="90"/>
      <c r="BA115" s="90"/>
      <c r="BB115" s="86"/>
      <c r="BC115" s="116"/>
      <c r="BD115" s="116"/>
      <c r="BE115" s="116"/>
      <c r="BF115" s="86"/>
      <c r="BG115" s="91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261"/>
      <c r="CG115" s="337"/>
    </row>
    <row r="116" spans="1:85" s="263" customFormat="1" ht="15.75" x14ac:dyDescent="0.2">
      <c r="A116" s="84"/>
      <c r="B116" s="85"/>
      <c r="C116" s="84"/>
      <c r="D116" s="88"/>
      <c r="E116" s="88"/>
      <c r="F116" s="201"/>
      <c r="G116" s="88"/>
      <c r="H116" s="216"/>
      <c r="I116" s="220"/>
      <c r="J116" s="202"/>
      <c r="K116" s="341"/>
      <c r="L116" s="203"/>
      <c r="M116" s="203"/>
      <c r="N116" s="201"/>
      <c r="O116" s="202"/>
      <c r="P116" s="341"/>
      <c r="Q116" s="203"/>
      <c r="R116" s="203"/>
      <c r="S116" s="87"/>
      <c r="T116" s="87"/>
      <c r="U116" s="341"/>
      <c r="V116" s="203"/>
      <c r="W116" s="203"/>
      <c r="X116" s="201"/>
      <c r="Y116" s="201"/>
      <c r="Z116" s="87"/>
      <c r="AA116" s="224"/>
      <c r="AB116" s="201"/>
      <c r="AC116" s="335"/>
      <c r="AD116" s="224"/>
      <c r="AE116" s="88"/>
      <c r="AF116" s="88"/>
      <c r="AG116" s="86"/>
      <c r="AH116" s="86"/>
      <c r="AI116" s="89"/>
      <c r="AJ116" s="86"/>
      <c r="AK116" s="86"/>
      <c r="AL116" s="86"/>
      <c r="AM116" s="86"/>
      <c r="AN116" s="86"/>
      <c r="AO116" s="86"/>
      <c r="AP116" s="115"/>
      <c r="AQ116" s="116"/>
      <c r="AR116" s="116"/>
      <c r="AS116" s="136"/>
      <c r="AT116" s="116"/>
      <c r="AU116" s="86"/>
      <c r="AV116" s="86"/>
      <c r="AW116" s="86"/>
      <c r="AX116" s="86"/>
      <c r="AY116" s="86"/>
      <c r="AZ116" s="90"/>
      <c r="BA116" s="90"/>
      <c r="BB116" s="86"/>
      <c r="BC116" s="116"/>
      <c r="BD116" s="116"/>
      <c r="BE116" s="116"/>
      <c r="BF116" s="86"/>
      <c r="BG116" s="91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261"/>
      <c r="CG116" s="337"/>
    </row>
    <row r="117" spans="1:85" s="263" customFormat="1" ht="15" x14ac:dyDescent="0.2">
      <c r="A117" s="84"/>
      <c r="B117" s="85"/>
      <c r="C117" s="84"/>
      <c r="D117" s="88"/>
      <c r="E117" s="88"/>
      <c r="F117" s="201"/>
      <c r="G117" s="88"/>
      <c r="H117" s="216"/>
      <c r="I117" s="220"/>
      <c r="J117" s="202"/>
      <c r="K117" s="88"/>
      <c r="L117" s="203"/>
      <c r="M117" s="203"/>
      <c r="N117" s="201"/>
      <c r="O117" s="202"/>
      <c r="P117" s="88"/>
      <c r="Q117" s="203"/>
      <c r="R117" s="203"/>
      <c r="S117" s="87"/>
      <c r="T117" s="87"/>
      <c r="U117" s="88"/>
      <c r="V117" s="203"/>
      <c r="W117" s="203"/>
      <c r="X117" s="201"/>
      <c r="Y117" s="201"/>
      <c r="Z117" s="87"/>
      <c r="AA117" s="224"/>
      <c r="AB117" s="201"/>
      <c r="AC117" s="335"/>
      <c r="AD117" s="224"/>
      <c r="AE117" s="88"/>
      <c r="AF117" s="88"/>
      <c r="AG117" s="86"/>
      <c r="AH117" s="86"/>
      <c r="AI117" s="89"/>
      <c r="AJ117" s="86"/>
      <c r="AK117" s="86"/>
      <c r="AL117" s="86"/>
      <c r="AM117" s="86"/>
      <c r="AN117" s="86"/>
      <c r="AO117" s="86"/>
      <c r="AP117" s="115"/>
      <c r="AQ117" s="116"/>
      <c r="AR117" s="116"/>
      <c r="AS117" s="136"/>
      <c r="AT117" s="116"/>
      <c r="AU117" s="86"/>
      <c r="AV117" s="86"/>
      <c r="AW117" s="86"/>
      <c r="AX117" s="86"/>
      <c r="AY117" s="86"/>
      <c r="AZ117" s="90"/>
      <c r="BA117" s="90"/>
      <c r="BB117" s="86"/>
      <c r="BC117" s="116"/>
      <c r="BD117" s="116"/>
      <c r="BE117" s="116"/>
      <c r="BF117" s="86"/>
      <c r="BG117" s="91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261"/>
      <c r="CG117" s="337"/>
    </row>
    <row r="118" spans="1:85" s="263" customFormat="1" ht="15.75" x14ac:dyDescent="0.2">
      <c r="A118" s="84"/>
      <c r="B118" s="85"/>
      <c r="C118" s="84"/>
      <c r="D118" s="88"/>
      <c r="E118" s="88"/>
      <c r="F118" s="201"/>
      <c r="G118" s="88"/>
      <c r="H118" s="216"/>
      <c r="I118" s="220"/>
      <c r="J118" s="202"/>
      <c r="K118" s="341"/>
      <c r="L118" s="203"/>
      <c r="M118" s="203"/>
      <c r="N118" s="201"/>
      <c r="O118" s="202"/>
      <c r="P118" s="341"/>
      <c r="Q118" s="203"/>
      <c r="R118" s="203"/>
      <c r="S118" s="87"/>
      <c r="T118" s="87"/>
      <c r="U118" s="341"/>
      <c r="V118" s="203"/>
      <c r="W118" s="203"/>
      <c r="X118" s="201"/>
      <c r="Y118" s="201"/>
      <c r="Z118" s="87"/>
      <c r="AA118" s="224"/>
      <c r="AB118" s="201"/>
      <c r="AC118" s="335"/>
      <c r="AD118" s="224"/>
      <c r="AE118" s="88"/>
      <c r="AF118" s="88"/>
      <c r="AG118" s="86"/>
      <c r="AH118" s="86"/>
      <c r="AI118" s="89"/>
      <c r="AJ118" s="86"/>
      <c r="AK118" s="86"/>
      <c r="AL118" s="86"/>
      <c r="AM118" s="86"/>
      <c r="AN118" s="86"/>
      <c r="AO118" s="86"/>
      <c r="AP118" s="115"/>
      <c r="AQ118" s="116"/>
      <c r="AR118" s="116"/>
      <c r="AS118" s="136"/>
      <c r="AT118" s="116"/>
      <c r="AU118" s="86"/>
      <c r="AV118" s="86"/>
      <c r="AW118" s="86"/>
      <c r="AX118" s="86"/>
      <c r="AY118" s="86"/>
      <c r="AZ118" s="90"/>
      <c r="BA118" s="90"/>
      <c r="BB118" s="86"/>
      <c r="BC118" s="116"/>
      <c r="BD118" s="116"/>
      <c r="BE118" s="116"/>
      <c r="BF118" s="86"/>
      <c r="BG118" s="91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261"/>
      <c r="CG118" s="337"/>
    </row>
    <row r="119" spans="1:85" s="263" customFormat="1" ht="15.75" x14ac:dyDescent="0.2">
      <c r="A119" s="84"/>
      <c r="B119" s="85"/>
      <c r="C119" s="84"/>
      <c r="D119" s="88"/>
      <c r="E119" s="88"/>
      <c r="F119" s="201"/>
      <c r="G119" s="88"/>
      <c r="H119" s="216"/>
      <c r="I119" s="220"/>
      <c r="J119" s="202"/>
      <c r="K119" s="341"/>
      <c r="L119" s="203"/>
      <c r="M119" s="203"/>
      <c r="N119" s="201"/>
      <c r="O119" s="202"/>
      <c r="P119" s="341"/>
      <c r="Q119" s="203"/>
      <c r="R119" s="203"/>
      <c r="S119" s="87"/>
      <c r="T119" s="87"/>
      <c r="U119" s="341"/>
      <c r="V119" s="203"/>
      <c r="W119" s="203"/>
      <c r="X119" s="201"/>
      <c r="Y119" s="201"/>
      <c r="Z119" s="87"/>
      <c r="AA119" s="224"/>
      <c r="AB119" s="201"/>
      <c r="AC119" s="335"/>
      <c r="AD119" s="224"/>
      <c r="AE119" s="88"/>
      <c r="AF119" s="88"/>
      <c r="AG119" s="86"/>
      <c r="AH119" s="86"/>
      <c r="AI119" s="89"/>
      <c r="AJ119" s="86"/>
      <c r="AK119" s="86"/>
      <c r="AL119" s="86"/>
      <c r="AM119" s="86"/>
      <c r="AN119" s="86"/>
      <c r="AO119" s="86"/>
      <c r="AP119" s="115"/>
      <c r="AQ119" s="116"/>
      <c r="AR119" s="116"/>
      <c r="AS119" s="136"/>
      <c r="AT119" s="116"/>
      <c r="AU119" s="86"/>
      <c r="AV119" s="86"/>
      <c r="AW119" s="86"/>
      <c r="AX119" s="86"/>
      <c r="AY119" s="86"/>
      <c r="AZ119" s="90"/>
      <c r="BA119" s="90"/>
      <c r="BB119" s="86"/>
      <c r="BC119" s="116"/>
      <c r="BD119" s="116"/>
      <c r="BE119" s="116"/>
      <c r="BF119" s="86"/>
      <c r="BG119" s="91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261"/>
      <c r="CG119" s="337"/>
    </row>
    <row r="120" spans="1:85" s="263" customFormat="1" ht="15.75" x14ac:dyDescent="0.2">
      <c r="A120" s="84"/>
      <c r="B120" s="85"/>
      <c r="C120" s="84"/>
      <c r="D120" s="88"/>
      <c r="E120" s="88"/>
      <c r="F120" s="201"/>
      <c r="G120" s="88"/>
      <c r="H120" s="216"/>
      <c r="I120" s="220"/>
      <c r="J120" s="202"/>
      <c r="K120" s="341"/>
      <c r="L120" s="203"/>
      <c r="M120" s="203"/>
      <c r="N120" s="201"/>
      <c r="O120" s="202"/>
      <c r="P120" s="341"/>
      <c r="Q120" s="203"/>
      <c r="R120" s="203"/>
      <c r="S120" s="87"/>
      <c r="T120" s="87"/>
      <c r="U120" s="341"/>
      <c r="V120" s="203"/>
      <c r="W120" s="203"/>
      <c r="X120" s="201"/>
      <c r="Y120" s="201"/>
      <c r="Z120" s="87"/>
      <c r="AA120" s="224"/>
      <c r="AB120" s="201"/>
      <c r="AC120" s="335"/>
      <c r="AD120" s="224"/>
      <c r="AE120" s="88"/>
      <c r="AF120" s="88"/>
      <c r="AG120" s="86"/>
      <c r="AH120" s="86"/>
      <c r="AI120" s="89"/>
      <c r="AJ120" s="86"/>
      <c r="AK120" s="86"/>
      <c r="AL120" s="86"/>
      <c r="AM120" s="86"/>
      <c r="AN120" s="86"/>
      <c r="AO120" s="86"/>
      <c r="AP120" s="115"/>
      <c r="AQ120" s="116"/>
      <c r="AR120" s="116"/>
      <c r="AS120" s="136"/>
      <c r="AT120" s="116"/>
      <c r="AU120" s="86"/>
      <c r="AV120" s="86"/>
      <c r="AW120" s="86"/>
      <c r="AX120" s="86"/>
      <c r="AY120" s="86"/>
      <c r="AZ120" s="90"/>
      <c r="BA120" s="90"/>
      <c r="BB120" s="86"/>
      <c r="BC120" s="116"/>
      <c r="BD120" s="116"/>
      <c r="BE120" s="116"/>
      <c r="BF120" s="86"/>
      <c r="BG120" s="91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261"/>
      <c r="CG120" s="337"/>
    </row>
    <row r="121" spans="1:85" s="263" customFormat="1" ht="15.75" x14ac:dyDescent="0.2">
      <c r="A121" s="84"/>
      <c r="B121" s="85"/>
      <c r="C121" s="84"/>
      <c r="D121" s="88"/>
      <c r="E121" s="88"/>
      <c r="F121" s="201"/>
      <c r="G121" s="88"/>
      <c r="H121" s="216"/>
      <c r="I121" s="220"/>
      <c r="J121" s="202"/>
      <c r="K121" s="341"/>
      <c r="L121" s="203"/>
      <c r="M121" s="203"/>
      <c r="N121" s="201"/>
      <c r="O121" s="202"/>
      <c r="P121" s="341"/>
      <c r="Q121" s="203"/>
      <c r="R121" s="203"/>
      <c r="S121" s="87"/>
      <c r="T121" s="87"/>
      <c r="U121" s="341"/>
      <c r="V121" s="203"/>
      <c r="W121" s="203"/>
      <c r="X121" s="201"/>
      <c r="Y121" s="201"/>
      <c r="Z121" s="87"/>
      <c r="AA121" s="224"/>
      <c r="AB121" s="201"/>
      <c r="AC121" s="335"/>
      <c r="AD121" s="224"/>
      <c r="AE121" s="88"/>
      <c r="AF121" s="88"/>
      <c r="AG121" s="86"/>
      <c r="AH121" s="86"/>
      <c r="AI121" s="89"/>
      <c r="AJ121" s="86"/>
      <c r="AK121" s="86"/>
      <c r="AL121" s="86"/>
      <c r="AM121" s="86"/>
      <c r="AN121" s="86"/>
      <c r="AO121" s="86"/>
      <c r="AP121" s="115"/>
      <c r="AQ121" s="116"/>
      <c r="AR121" s="116"/>
      <c r="AS121" s="136"/>
      <c r="AT121" s="116"/>
      <c r="AU121" s="86"/>
      <c r="AV121" s="86"/>
      <c r="AW121" s="86"/>
      <c r="AX121" s="86"/>
      <c r="AY121" s="86"/>
      <c r="AZ121" s="90"/>
      <c r="BA121" s="90"/>
      <c r="BB121" s="86"/>
      <c r="BC121" s="116"/>
      <c r="BD121" s="116"/>
      <c r="BE121" s="116"/>
      <c r="BF121" s="86"/>
      <c r="BG121" s="91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261"/>
      <c r="CG121" s="337"/>
    </row>
    <row r="122" spans="1:85" s="263" customFormat="1" ht="15.75" x14ac:dyDescent="0.2">
      <c r="A122" s="84"/>
      <c r="B122" s="85"/>
      <c r="C122" s="84"/>
      <c r="D122" s="88"/>
      <c r="E122" s="88"/>
      <c r="F122" s="201"/>
      <c r="G122" s="88"/>
      <c r="H122" s="216"/>
      <c r="I122" s="220"/>
      <c r="J122" s="202"/>
      <c r="K122" s="341"/>
      <c r="L122" s="203"/>
      <c r="M122" s="203"/>
      <c r="N122" s="201"/>
      <c r="O122" s="202"/>
      <c r="P122" s="341"/>
      <c r="Q122" s="203"/>
      <c r="R122" s="203"/>
      <c r="S122" s="87"/>
      <c r="T122" s="87"/>
      <c r="U122" s="341"/>
      <c r="V122" s="203"/>
      <c r="W122" s="203"/>
      <c r="X122" s="201"/>
      <c r="Y122" s="201"/>
      <c r="Z122" s="87"/>
      <c r="AA122" s="224"/>
      <c r="AB122" s="201"/>
      <c r="AC122" s="335"/>
      <c r="AD122" s="224"/>
      <c r="AE122" s="88"/>
      <c r="AF122" s="88"/>
      <c r="AG122" s="86"/>
      <c r="AH122" s="86"/>
      <c r="AI122" s="89"/>
      <c r="AJ122" s="86"/>
      <c r="AK122" s="86"/>
      <c r="AL122" s="86"/>
      <c r="AM122" s="86"/>
      <c r="AN122" s="86"/>
      <c r="AO122" s="86"/>
      <c r="AP122" s="115"/>
      <c r="AQ122" s="116"/>
      <c r="AR122" s="116"/>
      <c r="AS122" s="136"/>
      <c r="AT122" s="116"/>
      <c r="AU122" s="86"/>
      <c r="AV122" s="86"/>
      <c r="AW122" s="86"/>
      <c r="AX122" s="86"/>
      <c r="AY122" s="86"/>
      <c r="AZ122" s="90"/>
      <c r="BA122" s="90"/>
      <c r="BB122" s="86"/>
      <c r="BC122" s="116"/>
      <c r="BD122" s="116"/>
      <c r="BE122" s="116"/>
      <c r="BF122" s="86"/>
      <c r="BG122" s="91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261"/>
      <c r="CG122" s="337"/>
    </row>
    <row r="123" spans="1:85" s="263" customFormat="1" ht="15.75" x14ac:dyDescent="0.2">
      <c r="A123" s="84"/>
      <c r="B123" s="85"/>
      <c r="C123" s="84"/>
      <c r="D123" s="88"/>
      <c r="E123" s="88"/>
      <c r="F123" s="201"/>
      <c r="G123" s="88"/>
      <c r="H123" s="216"/>
      <c r="I123" s="220"/>
      <c r="J123" s="202"/>
      <c r="K123" s="341"/>
      <c r="L123" s="203"/>
      <c r="M123" s="203"/>
      <c r="N123" s="201"/>
      <c r="O123" s="202"/>
      <c r="P123" s="341"/>
      <c r="Q123" s="203"/>
      <c r="R123" s="203"/>
      <c r="S123" s="87"/>
      <c r="T123" s="87"/>
      <c r="U123" s="341"/>
      <c r="V123" s="203"/>
      <c r="W123" s="203"/>
      <c r="X123" s="201"/>
      <c r="Y123" s="201"/>
      <c r="Z123" s="87"/>
      <c r="AA123" s="224"/>
      <c r="AB123" s="201"/>
      <c r="AC123" s="335"/>
      <c r="AD123" s="224"/>
      <c r="AE123" s="88"/>
      <c r="AF123" s="88"/>
      <c r="AG123" s="86"/>
      <c r="AH123" s="86"/>
      <c r="AI123" s="89"/>
      <c r="AJ123" s="86"/>
      <c r="AK123" s="86"/>
      <c r="AL123" s="86"/>
      <c r="AM123" s="86"/>
      <c r="AN123" s="86"/>
      <c r="AO123" s="86"/>
      <c r="AP123" s="115"/>
      <c r="AQ123" s="116"/>
      <c r="AR123" s="116"/>
      <c r="AS123" s="136"/>
      <c r="AT123" s="116"/>
      <c r="AU123" s="86"/>
      <c r="AV123" s="86"/>
      <c r="AW123" s="86"/>
      <c r="AX123" s="86"/>
      <c r="AY123" s="86"/>
      <c r="AZ123" s="90"/>
      <c r="BA123" s="90"/>
      <c r="BB123" s="86"/>
      <c r="BC123" s="116"/>
      <c r="BD123" s="116"/>
      <c r="BE123" s="116"/>
      <c r="BF123" s="86"/>
      <c r="BG123" s="91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261"/>
      <c r="CG123" s="337"/>
    </row>
    <row r="124" spans="1:85" s="263" customFormat="1" ht="15.75" x14ac:dyDescent="0.2">
      <c r="A124" s="84"/>
      <c r="B124" s="85"/>
      <c r="C124" s="84"/>
      <c r="D124" s="88"/>
      <c r="E124" s="88"/>
      <c r="F124" s="201"/>
      <c r="G124" s="88"/>
      <c r="H124" s="216"/>
      <c r="I124" s="220"/>
      <c r="J124" s="202"/>
      <c r="K124" s="341"/>
      <c r="L124" s="203"/>
      <c r="M124" s="203"/>
      <c r="N124" s="201"/>
      <c r="O124" s="202"/>
      <c r="P124" s="341"/>
      <c r="Q124" s="203"/>
      <c r="R124" s="203"/>
      <c r="S124" s="87"/>
      <c r="T124" s="87"/>
      <c r="U124" s="341"/>
      <c r="V124" s="203"/>
      <c r="W124" s="203"/>
      <c r="X124" s="201"/>
      <c r="Y124" s="201"/>
      <c r="Z124" s="87"/>
      <c r="AA124" s="224"/>
      <c r="AB124" s="201"/>
      <c r="AC124" s="335"/>
      <c r="AD124" s="224"/>
      <c r="AE124" s="88"/>
      <c r="AF124" s="88"/>
      <c r="AG124" s="86"/>
      <c r="AH124" s="86"/>
      <c r="AI124" s="89"/>
      <c r="AJ124" s="86"/>
      <c r="AK124" s="86"/>
      <c r="AL124" s="86"/>
      <c r="AM124" s="86"/>
      <c r="AN124" s="86"/>
      <c r="AO124" s="86"/>
      <c r="AP124" s="115"/>
      <c r="AQ124" s="116"/>
      <c r="AR124" s="116"/>
      <c r="AS124" s="136"/>
      <c r="AT124" s="116"/>
      <c r="AU124" s="86"/>
      <c r="AV124" s="86"/>
      <c r="AW124" s="86"/>
      <c r="AX124" s="86"/>
      <c r="AY124" s="86"/>
      <c r="AZ124" s="90"/>
      <c r="BA124" s="90"/>
      <c r="BB124" s="86"/>
      <c r="BC124" s="116"/>
      <c r="BD124" s="116"/>
      <c r="BE124" s="116"/>
      <c r="BF124" s="86"/>
      <c r="BG124" s="91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261"/>
      <c r="CG124" s="337"/>
    </row>
    <row r="125" spans="1:85" s="263" customFormat="1" ht="15.75" x14ac:dyDescent="0.2">
      <c r="A125" s="84"/>
      <c r="B125" s="85"/>
      <c r="C125" s="84"/>
      <c r="D125" s="88"/>
      <c r="E125" s="88"/>
      <c r="F125" s="201"/>
      <c r="G125" s="88"/>
      <c r="H125" s="216"/>
      <c r="I125" s="220"/>
      <c r="J125" s="202"/>
      <c r="K125" s="341"/>
      <c r="L125" s="203"/>
      <c r="M125" s="203"/>
      <c r="N125" s="201"/>
      <c r="O125" s="202"/>
      <c r="P125" s="341"/>
      <c r="Q125" s="203"/>
      <c r="R125" s="203"/>
      <c r="S125" s="87"/>
      <c r="T125" s="87"/>
      <c r="U125" s="341"/>
      <c r="V125" s="203"/>
      <c r="W125" s="203"/>
      <c r="X125" s="201"/>
      <c r="Y125" s="201"/>
      <c r="Z125" s="87"/>
      <c r="AA125" s="224"/>
      <c r="AB125" s="201"/>
      <c r="AC125" s="335"/>
      <c r="AD125" s="224"/>
      <c r="AE125" s="88"/>
      <c r="AF125" s="88"/>
      <c r="AG125" s="86"/>
      <c r="AH125" s="86"/>
      <c r="AI125" s="89"/>
      <c r="AJ125" s="86"/>
      <c r="AK125" s="86"/>
      <c r="AL125" s="86"/>
      <c r="AM125" s="86"/>
      <c r="AN125" s="86"/>
      <c r="AO125" s="86"/>
      <c r="AP125" s="115"/>
      <c r="AQ125" s="116"/>
      <c r="AR125" s="116"/>
      <c r="AS125" s="136"/>
      <c r="AT125" s="116"/>
      <c r="AU125" s="86"/>
      <c r="AV125" s="86"/>
      <c r="AW125" s="86"/>
      <c r="AX125" s="86"/>
      <c r="AY125" s="86"/>
      <c r="AZ125" s="90"/>
      <c r="BA125" s="90"/>
      <c r="BB125" s="86"/>
      <c r="BC125" s="116"/>
      <c r="BD125" s="116"/>
      <c r="BE125" s="116"/>
      <c r="BF125" s="86"/>
      <c r="BG125" s="91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261"/>
      <c r="CG125" s="337"/>
    </row>
    <row r="126" spans="1:85" s="263" customFormat="1" ht="15.75" x14ac:dyDescent="0.2">
      <c r="A126" s="84"/>
      <c r="B126" s="85"/>
      <c r="C126" s="84"/>
      <c r="D126" s="88"/>
      <c r="E126" s="88"/>
      <c r="F126" s="201"/>
      <c r="G126" s="88"/>
      <c r="H126" s="216"/>
      <c r="I126" s="220"/>
      <c r="J126" s="202"/>
      <c r="K126" s="341"/>
      <c r="L126" s="203"/>
      <c r="M126" s="203"/>
      <c r="N126" s="201"/>
      <c r="O126" s="202"/>
      <c r="P126" s="341"/>
      <c r="Q126" s="203"/>
      <c r="R126" s="203"/>
      <c r="S126" s="87"/>
      <c r="T126" s="87"/>
      <c r="U126" s="341"/>
      <c r="V126" s="203"/>
      <c r="W126" s="203"/>
      <c r="X126" s="201"/>
      <c r="Y126" s="201"/>
      <c r="Z126" s="87"/>
      <c r="AA126" s="224"/>
      <c r="AB126" s="201"/>
      <c r="AC126" s="335"/>
      <c r="AD126" s="224"/>
      <c r="AE126" s="88"/>
      <c r="AF126" s="88"/>
      <c r="AG126" s="86"/>
      <c r="AH126" s="86"/>
      <c r="AI126" s="89"/>
      <c r="AJ126" s="86"/>
      <c r="AK126" s="86"/>
      <c r="AL126" s="86"/>
      <c r="AM126" s="86"/>
      <c r="AN126" s="86"/>
      <c r="AO126" s="86"/>
      <c r="AP126" s="115"/>
      <c r="AQ126" s="116"/>
      <c r="AR126" s="116"/>
      <c r="AS126" s="136"/>
      <c r="AT126" s="116"/>
      <c r="AU126" s="86"/>
      <c r="AV126" s="86"/>
      <c r="AW126" s="86"/>
      <c r="AX126" s="86"/>
      <c r="AY126" s="86"/>
      <c r="AZ126" s="90"/>
      <c r="BA126" s="90"/>
      <c r="BB126" s="86"/>
      <c r="BC126" s="116"/>
      <c r="BD126" s="116"/>
      <c r="BE126" s="116"/>
      <c r="BF126" s="86"/>
      <c r="BG126" s="91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261"/>
      <c r="CG126" s="337"/>
    </row>
    <row r="127" spans="1:85" s="263" customFormat="1" ht="15.75" x14ac:dyDescent="0.2">
      <c r="A127" s="84"/>
      <c r="B127" s="85"/>
      <c r="C127" s="84"/>
      <c r="D127" s="88"/>
      <c r="E127" s="88"/>
      <c r="F127" s="201"/>
      <c r="G127" s="88"/>
      <c r="H127" s="216"/>
      <c r="I127" s="220"/>
      <c r="J127" s="202"/>
      <c r="K127" s="341"/>
      <c r="L127" s="203"/>
      <c r="M127" s="203"/>
      <c r="N127" s="201"/>
      <c r="O127" s="202"/>
      <c r="P127" s="341"/>
      <c r="Q127" s="203"/>
      <c r="R127" s="203"/>
      <c r="S127" s="87"/>
      <c r="T127" s="87"/>
      <c r="U127" s="341"/>
      <c r="V127" s="203"/>
      <c r="W127" s="203"/>
      <c r="X127" s="201"/>
      <c r="Y127" s="201"/>
      <c r="Z127" s="87"/>
      <c r="AA127" s="224"/>
      <c r="AB127" s="201"/>
      <c r="AC127" s="335"/>
      <c r="AD127" s="224"/>
      <c r="AE127" s="88"/>
      <c r="AF127" s="88"/>
      <c r="AG127" s="86"/>
      <c r="AH127" s="86"/>
      <c r="AI127" s="89"/>
      <c r="AJ127" s="86"/>
      <c r="AK127" s="86"/>
      <c r="AL127" s="86"/>
      <c r="AM127" s="86"/>
      <c r="AN127" s="86"/>
      <c r="AO127" s="86"/>
      <c r="AP127" s="115"/>
      <c r="AQ127" s="116"/>
      <c r="AR127" s="116"/>
      <c r="AS127" s="136"/>
      <c r="AT127" s="116"/>
      <c r="AU127" s="86"/>
      <c r="AV127" s="86"/>
      <c r="AW127" s="86"/>
      <c r="AX127" s="86"/>
      <c r="AY127" s="86"/>
      <c r="AZ127" s="90"/>
      <c r="BA127" s="90"/>
      <c r="BB127" s="86"/>
      <c r="BC127" s="116"/>
      <c r="BD127" s="116"/>
      <c r="BE127" s="116"/>
      <c r="BF127" s="86"/>
      <c r="BG127" s="91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261"/>
      <c r="CG127" s="337"/>
    </row>
    <row r="128" spans="1:85" s="263" customFormat="1" ht="15.75" x14ac:dyDescent="0.2">
      <c r="A128" s="84"/>
      <c r="B128" s="85"/>
      <c r="C128" s="84"/>
      <c r="D128" s="88"/>
      <c r="E128" s="88"/>
      <c r="F128" s="201"/>
      <c r="G128" s="88"/>
      <c r="H128" s="216"/>
      <c r="I128" s="220"/>
      <c r="J128" s="202"/>
      <c r="K128" s="341"/>
      <c r="L128" s="203"/>
      <c r="M128" s="203"/>
      <c r="N128" s="201"/>
      <c r="O128" s="202"/>
      <c r="P128" s="341"/>
      <c r="Q128" s="203"/>
      <c r="R128" s="203"/>
      <c r="S128" s="87"/>
      <c r="T128" s="87"/>
      <c r="U128" s="341"/>
      <c r="V128" s="203"/>
      <c r="W128" s="203"/>
      <c r="X128" s="201"/>
      <c r="Y128" s="201"/>
      <c r="Z128" s="87"/>
      <c r="AA128" s="224"/>
      <c r="AB128" s="201"/>
      <c r="AC128" s="335"/>
      <c r="AD128" s="224"/>
      <c r="AE128" s="88"/>
      <c r="AF128" s="88"/>
      <c r="AG128" s="86"/>
      <c r="AH128" s="86"/>
      <c r="AI128" s="89"/>
      <c r="AJ128" s="86"/>
      <c r="AK128" s="86"/>
      <c r="AL128" s="86"/>
      <c r="AM128" s="86"/>
      <c r="AN128" s="86"/>
      <c r="AO128" s="86"/>
      <c r="AP128" s="115"/>
      <c r="AQ128" s="116"/>
      <c r="AR128" s="116"/>
      <c r="AS128" s="136"/>
      <c r="AT128" s="116"/>
      <c r="AU128" s="86"/>
      <c r="AV128" s="86"/>
      <c r="AW128" s="86"/>
      <c r="AX128" s="86"/>
      <c r="AY128" s="86"/>
      <c r="AZ128" s="90"/>
      <c r="BA128" s="90"/>
      <c r="BB128" s="86"/>
      <c r="BC128" s="116"/>
      <c r="BD128" s="116"/>
      <c r="BE128" s="116"/>
      <c r="BF128" s="86"/>
      <c r="BG128" s="91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261"/>
      <c r="CG128" s="337"/>
    </row>
    <row r="129" spans="1:85" s="263" customFormat="1" ht="15.75" x14ac:dyDescent="0.2">
      <c r="A129" s="84"/>
      <c r="B129" s="85"/>
      <c r="C129" s="84"/>
      <c r="D129" s="88"/>
      <c r="E129" s="88"/>
      <c r="F129" s="201"/>
      <c r="G129" s="88"/>
      <c r="H129" s="216"/>
      <c r="I129" s="220"/>
      <c r="J129" s="202"/>
      <c r="K129" s="341"/>
      <c r="L129" s="203"/>
      <c r="M129" s="203"/>
      <c r="N129" s="201"/>
      <c r="O129" s="202"/>
      <c r="P129" s="341"/>
      <c r="Q129" s="203"/>
      <c r="R129" s="203"/>
      <c r="S129" s="87"/>
      <c r="T129" s="87"/>
      <c r="U129" s="341"/>
      <c r="V129" s="203"/>
      <c r="W129" s="203"/>
      <c r="X129" s="201"/>
      <c r="Y129" s="201"/>
      <c r="Z129" s="87"/>
      <c r="AA129" s="224"/>
      <c r="AB129" s="201"/>
      <c r="AC129" s="335"/>
      <c r="AD129" s="224"/>
      <c r="AE129" s="88"/>
      <c r="AF129" s="88"/>
      <c r="AG129" s="86"/>
      <c r="AH129" s="86"/>
      <c r="AI129" s="89"/>
      <c r="AJ129" s="86"/>
      <c r="AK129" s="86"/>
      <c r="AL129" s="86"/>
      <c r="AM129" s="86"/>
      <c r="AN129" s="86"/>
      <c r="AO129" s="86"/>
      <c r="AP129" s="115"/>
      <c r="AQ129" s="116"/>
      <c r="AR129" s="116"/>
      <c r="AS129" s="136"/>
      <c r="AT129" s="116"/>
      <c r="AU129" s="86"/>
      <c r="AV129" s="86"/>
      <c r="AW129" s="86"/>
      <c r="AX129" s="86"/>
      <c r="AY129" s="86"/>
      <c r="AZ129" s="90"/>
      <c r="BA129" s="90"/>
      <c r="BB129" s="86"/>
      <c r="BC129" s="116"/>
      <c r="BD129" s="116"/>
      <c r="BE129" s="116"/>
      <c r="BF129" s="86"/>
      <c r="BG129" s="91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261"/>
      <c r="CG129" s="337"/>
    </row>
    <row r="130" spans="1:85" s="263" customFormat="1" ht="15.75" x14ac:dyDescent="0.2">
      <c r="A130" s="84"/>
      <c r="B130" s="85"/>
      <c r="C130" s="84"/>
      <c r="D130" s="88"/>
      <c r="E130" s="88"/>
      <c r="F130" s="201"/>
      <c r="G130" s="88"/>
      <c r="H130" s="216"/>
      <c r="I130" s="220"/>
      <c r="J130" s="202"/>
      <c r="K130" s="341"/>
      <c r="L130" s="342"/>
      <c r="M130" s="342"/>
      <c r="N130" s="201"/>
      <c r="O130" s="202"/>
      <c r="P130" s="341"/>
      <c r="Q130" s="342"/>
      <c r="R130" s="203"/>
      <c r="S130" s="87"/>
      <c r="T130" s="87"/>
      <c r="U130" s="341"/>
      <c r="V130" s="203"/>
      <c r="W130" s="203"/>
      <c r="X130" s="201"/>
      <c r="Y130" s="201"/>
      <c r="Z130" s="87"/>
      <c r="AA130" s="224"/>
      <c r="AB130" s="201"/>
      <c r="AC130" s="335"/>
      <c r="AD130" s="224"/>
      <c r="AE130" s="88"/>
      <c r="AF130" s="88"/>
      <c r="AG130" s="86"/>
      <c r="AH130" s="86"/>
      <c r="AI130" s="89"/>
      <c r="AJ130" s="86"/>
      <c r="AK130" s="86"/>
      <c r="AL130" s="86"/>
      <c r="AM130" s="86"/>
      <c r="AN130" s="86"/>
      <c r="AO130" s="86"/>
      <c r="AP130" s="115"/>
      <c r="AQ130" s="116"/>
      <c r="AR130" s="116"/>
      <c r="AS130" s="136"/>
      <c r="AT130" s="116"/>
      <c r="AU130" s="86"/>
      <c r="AV130" s="86"/>
      <c r="AW130" s="86"/>
      <c r="AX130" s="86"/>
      <c r="AY130" s="86"/>
      <c r="AZ130" s="90"/>
      <c r="BA130" s="90"/>
      <c r="BB130" s="86"/>
      <c r="BC130" s="116"/>
      <c r="BD130" s="116"/>
      <c r="BE130" s="116"/>
      <c r="BF130" s="86"/>
      <c r="BG130" s="91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261"/>
      <c r="CG130" s="337"/>
    </row>
    <row r="131" spans="1:85" s="263" customFormat="1" ht="15.75" x14ac:dyDescent="0.2">
      <c r="A131" s="84"/>
      <c r="B131" s="85"/>
      <c r="C131" s="84"/>
      <c r="D131" s="88"/>
      <c r="E131" s="88"/>
      <c r="F131" s="201"/>
      <c r="G131" s="88"/>
      <c r="H131" s="216"/>
      <c r="I131" s="220"/>
      <c r="J131" s="202"/>
      <c r="K131" s="341"/>
      <c r="L131" s="342"/>
      <c r="M131" s="342"/>
      <c r="N131" s="201"/>
      <c r="O131" s="202"/>
      <c r="P131" s="341"/>
      <c r="Q131" s="342"/>
      <c r="R131" s="203"/>
      <c r="S131" s="87"/>
      <c r="T131" s="87"/>
      <c r="U131" s="341"/>
      <c r="V131" s="203"/>
      <c r="W131" s="203"/>
      <c r="X131" s="201"/>
      <c r="Y131" s="201"/>
      <c r="Z131" s="87"/>
      <c r="AA131" s="224"/>
      <c r="AB131" s="201"/>
      <c r="AC131" s="335"/>
      <c r="AD131" s="224"/>
      <c r="AE131" s="88"/>
      <c r="AF131" s="88"/>
      <c r="AG131" s="86"/>
      <c r="AH131" s="86"/>
      <c r="AI131" s="89"/>
      <c r="AJ131" s="86"/>
      <c r="AK131" s="86"/>
      <c r="AL131" s="86"/>
      <c r="AM131" s="86"/>
      <c r="AN131" s="86"/>
      <c r="AO131" s="86"/>
      <c r="AP131" s="115"/>
      <c r="AQ131" s="116"/>
      <c r="AR131" s="116"/>
      <c r="AS131" s="136"/>
      <c r="AT131" s="116"/>
      <c r="AU131" s="86"/>
      <c r="AV131" s="86"/>
      <c r="AW131" s="86"/>
      <c r="AX131" s="86"/>
      <c r="AY131" s="86"/>
      <c r="AZ131" s="90"/>
      <c r="BA131" s="90"/>
      <c r="BB131" s="86"/>
      <c r="BC131" s="116"/>
      <c r="BD131" s="116"/>
      <c r="BE131" s="116"/>
      <c r="BF131" s="86"/>
      <c r="BG131" s="91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261"/>
      <c r="CG131" s="337"/>
    </row>
    <row r="132" spans="1:85" s="263" customFormat="1" ht="15.75" x14ac:dyDescent="0.2">
      <c r="A132" s="84"/>
      <c r="B132" s="85"/>
      <c r="C132" s="84"/>
      <c r="D132" s="88"/>
      <c r="E132" s="88"/>
      <c r="F132" s="201"/>
      <c r="G132" s="88"/>
      <c r="H132" s="216"/>
      <c r="I132" s="220"/>
      <c r="J132" s="202"/>
      <c r="K132" s="344"/>
      <c r="L132" s="342"/>
      <c r="M132" s="342"/>
      <c r="N132" s="201"/>
      <c r="O132" s="202"/>
      <c r="P132" s="341"/>
      <c r="Q132" s="342"/>
      <c r="R132" s="203"/>
      <c r="S132" s="87"/>
      <c r="T132" s="87"/>
      <c r="U132" s="341"/>
      <c r="V132" s="203"/>
      <c r="W132" s="203"/>
      <c r="X132" s="201"/>
      <c r="Y132" s="201"/>
      <c r="Z132" s="87"/>
      <c r="AA132" s="224"/>
      <c r="AB132" s="201"/>
      <c r="AC132" s="335"/>
      <c r="AD132" s="224"/>
      <c r="AE132" s="88"/>
      <c r="AF132" s="88"/>
      <c r="AG132" s="86"/>
      <c r="AH132" s="86"/>
      <c r="AI132" s="89"/>
      <c r="AJ132" s="86"/>
      <c r="AK132" s="86"/>
      <c r="AL132" s="86"/>
      <c r="AM132" s="86"/>
      <c r="AN132" s="86"/>
      <c r="AO132" s="86"/>
      <c r="AP132" s="115"/>
      <c r="AQ132" s="116"/>
      <c r="AR132" s="116"/>
      <c r="AS132" s="136"/>
      <c r="AT132" s="116"/>
      <c r="AU132" s="86"/>
      <c r="AV132" s="86"/>
      <c r="AW132" s="86"/>
      <c r="AX132" s="86"/>
      <c r="AY132" s="86"/>
      <c r="AZ132" s="90"/>
      <c r="BA132" s="90"/>
      <c r="BB132" s="86"/>
      <c r="BC132" s="116"/>
      <c r="BD132" s="116"/>
      <c r="BE132" s="116"/>
      <c r="BF132" s="86"/>
      <c r="BG132" s="91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261"/>
      <c r="CG132" s="337"/>
    </row>
    <row r="133" spans="1:85" s="263" customFormat="1" ht="15.75" x14ac:dyDescent="0.2">
      <c r="A133" s="84"/>
      <c r="B133" s="85"/>
      <c r="C133" s="84"/>
      <c r="D133" s="88"/>
      <c r="E133" s="88"/>
      <c r="F133" s="201"/>
      <c r="G133" s="88"/>
      <c r="H133" s="216"/>
      <c r="I133" s="220"/>
      <c r="J133" s="202"/>
      <c r="K133" s="341"/>
      <c r="L133" s="342"/>
      <c r="M133" s="342"/>
      <c r="N133" s="201"/>
      <c r="O133" s="202"/>
      <c r="P133" s="341"/>
      <c r="Q133" s="342"/>
      <c r="R133" s="203"/>
      <c r="S133" s="87"/>
      <c r="T133" s="87"/>
      <c r="U133" s="341"/>
      <c r="V133" s="203"/>
      <c r="W133" s="203"/>
      <c r="X133" s="201"/>
      <c r="Y133" s="201"/>
      <c r="Z133" s="87"/>
      <c r="AA133" s="224"/>
      <c r="AB133" s="201"/>
      <c r="AC133" s="335"/>
      <c r="AD133" s="224"/>
      <c r="AE133" s="88"/>
      <c r="AF133" s="88"/>
      <c r="AG133" s="86"/>
      <c r="AH133" s="86"/>
      <c r="AI133" s="89"/>
      <c r="AJ133" s="86"/>
      <c r="AK133" s="86"/>
      <c r="AL133" s="86"/>
      <c r="AM133" s="86"/>
      <c r="AN133" s="86"/>
      <c r="AO133" s="86"/>
      <c r="AP133" s="115"/>
      <c r="AQ133" s="116"/>
      <c r="AR133" s="116"/>
      <c r="AS133" s="136"/>
      <c r="AT133" s="116"/>
      <c r="AU133" s="86"/>
      <c r="AV133" s="86"/>
      <c r="AW133" s="86"/>
      <c r="AX133" s="86"/>
      <c r="AY133" s="86"/>
      <c r="AZ133" s="90"/>
      <c r="BA133" s="90"/>
      <c r="BB133" s="86"/>
      <c r="BC133" s="116"/>
      <c r="BD133" s="116"/>
      <c r="BE133" s="116"/>
      <c r="BF133" s="86"/>
      <c r="BG133" s="91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261"/>
      <c r="CG133" s="337"/>
    </row>
    <row r="134" spans="1:85" s="263" customFormat="1" ht="15.75" x14ac:dyDescent="0.2">
      <c r="A134" s="84"/>
      <c r="B134" s="85"/>
      <c r="C134" s="84"/>
      <c r="D134" s="88"/>
      <c r="E134" s="88"/>
      <c r="F134" s="201"/>
      <c r="G134" s="88"/>
      <c r="H134" s="216"/>
      <c r="I134" s="220"/>
      <c r="J134" s="202"/>
      <c r="K134" s="344"/>
      <c r="L134" s="342"/>
      <c r="M134" s="342"/>
      <c r="N134" s="201"/>
      <c r="O134" s="202"/>
      <c r="P134" s="341"/>
      <c r="Q134" s="342"/>
      <c r="R134" s="203"/>
      <c r="S134" s="87"/>
      <c r="T134" s="87"/>
      <c r="U134" s="341"/>
      <c r="V134" s="203"/>
      <c r="W134" s="203"/>
      <c r="X134" s="201"/>
      <c r="Y134" s="201"/>
      <c r="Z134" s="87"/>
      <c r="AA134" s="224"/>
      <c r="AB134" s="201"/>
      <c r="AC134" s="335"/>
      <c r="AD134" s="224"/>
      <c r="AE134" s="88"/>
      <c r="AF134" s="88"/>
      <c r="AG134" s="86"/>
      <c r="AH134" s="86"/>
      <c r="AI134" s="89"/>
      <c r="AJ134" s="86"/>
      <c r="AK134" s="86"/>
      <c r="AL134" s="86"/>
      <c r="AM134" s="86"/>
      <c r="AN134" s="86"/>
      <c r="AO134" s="86"/>
      <c r="AP134" s="115"/>
      <c r="AQ134" s="116"/>
      <c r="AR134" s="116"/>
      <c r="AS134" s="136"/>
      <c r="AT134" s="116"/>
      <c r="AU134" s="86"/>
      <c r="AV134" s="86"/>
      <c r="AW134" s="86"/>
      <c r="AX134" s="86"/>
      <c r="AY134" s="86"/>
      <c r="AZ134" s="90"/>
      <c r="BA134" s="90"/>
      <c r="BB134" s="86"/>
      <c r="BC134" s="116"/>
      <c r="BD134" s="116"/>
      <c r="BE134" s="116"/>
      <c r="BF134" s="86"/>
      <c r="BG134" s="91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261"/>
      <c r="CG134" s="337"/>
    </row>
    <row r="135" spans="1:85" s="263" customFormat="1" ht="15.75" x14ac:dyDescent="0.2">
      <c r="A135" s="84"/>
      <c r="B135" s="85"/>
      <c r="C135" s="84"/>
      <c r="D135" s="88"/>
      <c r="E135" s="88"/>
      <c r="F135" s="201"/>
      <c r="G135" s="88"/>
      <c r="H135" s="216"/>
      <c r="I135" s="220"/>
      <c r="J135" s="202"/>
      <c r="K135" s="341"/>
      <c r="L135" s="342"/>
      <c r="M135" s="342"/>
      <c r="N135" s="201"/>
      <c r="O135" s="202"/>
      <c r="P135" s="341"/>
      <c r="Q135" s="342"/>
      <c r="R135" s="203"/>
      <c r="S135" s="87"/>
      <c r="T135" s="87"/>
      <c r="U135" s="341"/>
      <c r="V135" s="203"/>
      <c r="W135" s="203"/>
      <c r="X135" s="201"/>
      <c r="Y135" s="201"/>
      <c r="Z135" s="87"/>
      <c r="AA135" s="224"/>
      <c r="AB135" s="201"/>
      <c r="AC135" s="335"/>
      <c r="AD135" s="224"/>
      <c r="AE135" s="88"/>
      <c r="AF135" s="88"/>
      <c r="AG135" s="86"/>
      <c r="AH135" s="86"/>
      <c r="AI135" s="89"/>
      <c r="AJ135" s="86"/>
      <c r="AK135" s="86"/>
      <c r="AL135" s="86"/>
      <c r="AM135" s="86"/>
      <c r="AN135" s="86"/>
      <c r="AO135" s="86"/>
      <c r="AP135" s="115"/>
      <c r="AQ135" s="116"/>
      <c r="AR135" s="116"/>
      <c r="AS135" s="136"/>
      <c r="AT135" s="116"/>
      <c r="AU135" s="86"/>
      <c r="AV135" s="86"/>
      <c r="AW135" s="86"/>
      <c r="AX135" s="86"/>
      <c r="AY135" s="86"/>
      <c r="AZ135" s="90"/>
      <c r="BA135" s="90"/>
      <c r="BB135" s="86"/>
      <c r="BC135" s="116"/>
      <c r="BD135" s="116"/>
      <c r="BE135" s="116"/>
      <c r="BF135" s="86"/>
      <c r="BG135" s="91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261"/>
      <c r="CG135" s="337"/>
    </row>
    <row r="136" spans="1:85" s="263" customFormat="1" ht="15.75" x14ac:dyDescent="0.2">
      <c r="A136" s="84"/>
      <c r="B136" s="85"/>
      <c r="C136" s="84"/>
      <c r="D136" s="88"/>
      <c r="E136" s="88"/>
      <c r="F136" s="201"/>
      <c r="G136" s="88"/>
      <c r="H136" s="216"/>
      <c r="I136" s="220"/>
      <c r="J136" s="202"/>
      <c r="K136" s="341"/>
      <c r="L136" s="342"/>
      <c r="M136" s="342"/>
      <c r="N136" s="201"/>
      <c r="O136" s="202"/>
      <c r="P136" s="341"/>
      <c r="Q136" s="343"/>
      <c r="R136" s="203"/>
      <c r="S136" s="87"/>
      <c r="T136" s="87"/>
      <c r="U136" s="341"/>
      <c r="V136" s="203"/>
      <c r="W136" s="203"/>
      <c r="X136" s="201"/>
      <c r="Y136" s="201"/>
      <c r="Z136" s="87"/>
      <c r="AA136" s="224"/>
      <c r="AB136" s="201"/>
      <c r="AC136" s="335"/>
      <c r="AD136" s="224"/>
      <c r="AE136" s="88"/>
      <c r="AF136" s="88"/>
      <c r="AG136" s="86"/>
      <c r="AH136" s="86"/>
      <c r="AI136" s="89"/>
      <c r="AJ136" s="86"/>
      <c r="AK136" s="86"/>
      <c r="AL136" s="86"/>
      <c r="AM136" s="86"/>
      <c r="AN136" s="86"/>
      <c r="AO136" s="86"/>
      <c r="AP136" s="115"/>
      <c r="AQ136" s="116"/>
      <c r="AR136" s="116"/>
      <c r="AS136" s="136"/>
      <c r="AT136" s="116"/>
      <c r="AU136" s="86"/>
      <c r="AV136" s="86"/>
      <c r="AW136" s="86"/>
      <c r="AX136" s="86"/>
      <c r="AY136" s="86"/>
      <c r="AZ136" s="90"/>
      <c r="BA136" s="90"/>
      <c r="BB136" s="86"/>
      <c r="BC136" s="116"/>
      <c r="BD136" s="116"/>
      <c r="BE136" s="116"/>
      <c r="BF136" s="86"/>
      <c r="BG136" s="91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261"/>
      <c r="CG136" s="337"/>
    </row>
    <row r="137" spans="1:85" s="263" customFormat="1" ht="15.75" x14ac:dyDescent="0.2">
      <c r="A137" s="84"/>
      <c r="B137" s="85"/>
      <c r="C137" s="84"/>
      <c r="D137" s="88"/>
      <c r="E137" s="88"/>
      <c r="F137" s="201"/>
      <c r="G137" s="88"/>
      <c r="H137" s="216"/>
      <c r="I137" s="220"/>
      <c r="J137" s="202"/>
      <c r="K137" s="88"/>
      <c r="L137" s="203"/>
      <c r="M137" s="203"/>
      <c r="N137" s="201"/>
      <c r="O137" s="202"/>
      <c r="P137" s="88"/>
      <c r="Q137" s="203"/>
      <c r="R137" s="343"/>
      <c r="S137" s="87"/>
      <c r="T137" s="87"/>
      <c r="U137" s="88"/>
      <c r="V137" s="203"/>
      <c r="W137" s="203"/>
      <c r="X137" s="201"/>
      <c r="Y137" s="201"/>
      <c r="Z137" s="87"/>
      <c r="AA137" s="224"/>
      <c r="AB137" s="201"/>
      <c r="AC137" s="335"/>
      <c r="AD137" s="224"/>
      <c r="AE137" s="88"/>
      <c r="AF137" s="88"/>
      <c r="AG137" s="86"/>
      <c r="AH137" s="86"/>
      <c r="AI137" s="89"/>
      <c r="AJ137" s="86"/>
      <c r="AK137" s="86"/>
      <c r="AL137" s="86"/>
      <c r="AM137" s="86"/>
      <c r="AN137" s="86"/>
      <c r="AO137" s="86"/>
      <c r="AP137" s="115"/>
      <c r="AQ137" s="116"/>
      <c r="AR137" s="116"/>
      <c r="AS137" s="136"/>
      <c r="AT137" s="116"/>
      <c r="AU137" s="86"/>
      <c r="AV137" s="86"/>
      <c r="AW137" s="86"/>
      <c r="AX137" s="86"/>
      <c r="AY137" s="86"/>
      <c r="AZ137" s="90"/>
      <c r="BA137" s="90"/>
      <c r="BB137" s="86"/>
      <c r="BC137" s="116"/>
      <c r="BD137" s="116"/>
      <c r="BE137" s="116"/>
      <c r="BF137" s="86"/>
      <c r="BG137" s="91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261"/>
      <c r="CG137" s="337"/>
    </row>
    <row r="138" spans="1:85" s="263" customFormat="1" ht="15" x14ac:dyDescent="0.2">
      <c r="A138" s="84"/>
      <c r="B138" s="85"/>
      <c r="C138" s="84"/>
      <c r="D138" s="88"/>
      <c r="E138" s="88"/>
      <c r="F138" s="201"/>
      <c r="G138" s="88"/>
      <c r="H138" s="216"/>
      <c r="I138" s="220"/>
      <c r="J138" s="202"/>
      <c r="K138" s="88"/>
      <c r="L138" s="203"/>
      <c r="M138" s="203"/>
      <c r="N138" s="201"/>
      <c r="O138" s="202"/>
      <c r="P138" s="88"/>
      <c r="Q138" s="203"/>
      <c r="R138" s="203"/>
      <c r="S138" s="87"/>
      <c r="T138" s="87"/>
      <c r="U138" s="88"/>
      <c r="V138" s="203"/>
      <c r="W138" s="203"/>
      <c r="X138" s="201"/>
      <c r="Y138" s="201"/>
      <c r="Z138" s="87"/>
      <c r="AA138" s="224"/>
      <c r="AB138" s="201"/>
      <c r="AC138" s="335"/>
      <c r="AD138" s="224"/>
      <c r="AE138" s="88"/>
      <c r="AF138" s="88"/>
      <c r="AG138" s="86"/>
      <c r="AH138" s="86"/>
      <c r="AI138" s="89"/>
      <c r="AJ138" s="86"/>
      <c r="AK138" s="86"/>
      <c r="AL138" s="86"/>
      <c r="AM138" s="86"/>
      <c r="AN138" s="86"/>
      <c r="AO138" s="86"/>
      <c r="AP138" s="115"/>
      <c r="AQ138" s="116"/>
      <c r="AR138" s="116"/>
      <c r="AS138" s="136"/>
      <c r="AT138" s="116"/>
      <c r="AU138" s="86"/>
      <c r="AV138" s="86"/>
      <c r="AW138" s="86"/>
      <c r="AX138" s="86"/>
      <c r="AY138" s="86"/>
      <c r="AZ138" s="90"/>
      <c r="BA138" s="90"/>
      <c r="BB138" s="86"/>
      <c r="BC138" s="116"/>
      <c r="BD138" s="116"/>
      <c r="BE138" s="116"/>
      <c r="BF138" s="86"/>
      <c r="BG138" s="91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261"/>
      <c r="CG138" s="337"/>
    </row>
    <row r="139" spans="1:85" s="263" customFormat="1" ht="15.75" x14ac:dyDescent="0.2">
      <c r="A139" s="84"/>
      <c r="B139" s="85"/>
      <c r="C139" s="84"/>
      <c r="D139" s="88"/>
      <c r="E139" s="88"/>
      <c r="F139" s="201"/>
      <c r="G139" s="88"/>
      <c r="H139" s="216"/>
      <c r="I139" s="220"/>
      <c r="J139" s="202"/>
      <c r="K139" s="88"/>
      <c r="L139" s="203"/>
      <c r="M139" s="203"/>
      <c r="N139" s="201"/>
      <c r="O139" s="202"/>
      <c r="P139" s="341"/>
      <c r="Q139" s="203"/>
      <c r="R139" s="203"/>
      <c r="S139" s="87"/>
      <c r="T139" s="87"/>
      <c r="U139" s="88"/>
      <c r="V139" s="203"/>
      <c r="W139" s="203"/>
      <c r="X139" s="201"/>
      <c r="Y139" s="201"/>
      <c r="Z139" s="87"/>
      <c r="AA139" s="224"/>
      <c r="AB139" s="201"/>
      <c r="AC139" s="335"/>
      <c r="AD139" s="224"/>
      <c r="AE139" s="88"/>
      <c r="AF139" s="88"/>
      <c r="AG139" s="86"/>
      <c r="AH139" s="86"/>
      <c r="AI139" s="89"/>
      <c r="AJ139" s="86"/>
      <c r="AK139" s="86"/>
      <c r="AL139" s="86"/>
      <c r="AM139" s="86"/>
      <c r="AN139" s="86"/>
      <c r="AO139" s="86"/>
      <c r="AP139" s="115"/>
      <c r="AQ139" s="116"/>
      <c r="AR139" s="116"/>
      <c r="AS139" s="136"/>
      <c r="AT139" s="116"/>
      <c r="AU139" s="86"/>
      <c r="AV139" s="86"/>
      <c r="AW139" s="86"/>
      <c r="AX139" s="86"/>
      <c r="AY139" s="86"/>
      <c r="AZ139" s="90"/>
      <c r="BA139" s="90"/>
      <c r="BB139" s="86"/>
      <c r="BC139" s="116"/>
      <c r="BD139" s="116"/>
      <c r="BE139" s="116"/>
      <c r="BF139" s="86"/>
      <c r="BG139" s="91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261"/>
      <c r="CG139" s="337"/>
    </row>
    <row r="140" spans="1:85" s="263" customFormat="1" ht="15.75" x14ac:dyDescent="0.2">
      <c r="A140" s="84"/>
      <c r="B140" s="85"/>
      <c r="C140" s="84"/>
      <c r="D140" s="88"/>
      <c r="E140" s="88"/>
      <c r="F140" s="201"/>
      <c r="G140" s="88"/>
      <c r="H140" s="216"/>
      <c r="I140" s="220"/>
      <c r="J140" s="202"/>
      <c r="K140" s="88"/>
      <c r="L140" s="203"/>
      <c r="M140" s="203"/>
      <c r="N140" s="201"/>
      <c r="O140" s="202"/>
      <c r="P140" s="341"/>
      <c r="Q140" s="203"/>
      <c r="R140" s="343"/>
      <c r="S140" s="87"/>
      <c r="T140" s="87"/>
      <c r="U140" s="88"/>
      <c r="V140" s="203"/>
      <c r="W140" s="203"/>
      <c r="X140" s="201"/>
      <c r="Y140" s="201"/>
      <c r="Z140" s="87"/>
      <c r="AA140" s="224"/>
      <c r="AB140" s="201"/>
      <c r="AC140" s="335"/>
      <c r="AD140" s="224"/>
      <c r="AE140" s="88"/>
      <c r="AF140" s="88"/>
      <c r="AG140" s="86"/>
      <c r="AH140" s="86"/>
      <c r="AI140" s="89"/>
      <c r="AJ140" s="86"/>
      <c r="AK140" s="86"/>
      <c r="AL140" s="86"/>
      <c r="AM140" s="86"/>
      <c r="AN140" s="86"/>
      <c r="AO140" s="86"/>
      <c r="AP140" s="115"/>
      <c r="AQ140" s="116"/>
      <c r="AR140" s="116"/>
      <c r="AS140" s="136"/>
      <c r="AT140" s="116"/>
      <c r="AU140" s="86"/>
      <c r="AV140" s="86"/>
      <c r="AW140" s="86"/>
      <c r="AX140" s="86"/>
      <c r="AY140" s="86"/>
      <c r="AZ140" s="90"/>
      <c r="BA140" s="90"/>
      <c r="BB140" s="86"/>
      <c r="BC140" s="116"/>
      <c r="BD140" s="116"/>
      <c r="BE140" s="116"/>
      <c r="BF140" s="86"/>
      <c r="BG140" s="91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261"/>
      <c r="CG140" s="337"/>
    </row>
    <row r="141" spans="1:85" s="263" customFormat="1" ht="15.75" x14ac:dyDescent="0.2">
      <c r="A141" s="84"/>
      <c r="B141" s="85"/>
      <c r="C141" s="84"/>
      <c r="D141" s="88"/>
      <c r="E141" s="88"/>
      <c r="F141" s="201"/>
      <c r="G141" s="88"/>
      <c r="H141" s="216"/>
      <c r="I141" s="220"/>
      <c r="J141" s="202"/>
      <c r="K141" s="88"/>
      <c r="L141" s="203"/>
      <c r="M141" s="203"/>
      <c r="N141" s="201"/>
      <c r="O141" s="202"/>
      <c r="P141" s="341"/>
      <c r="Q141" s="203"/>
      <c r="R141" s="343"/>
      <c r="S141" s="87"/>
      <c r="T141" s="87"/>
      <c r="U141" s="88"/>
      <c r="V141" s="203"/>
      <c r="W141" s="203"/>
      <c r="X141" s="201"/>
      <c r="Y141" s="201"/>
      <c r="Z141" s="87"/>
      <c r="AA141" s="224"/>
      <c r="AB141" s="201"/>
      <c r="AC141" s="335"/>
      <c r="AD141" s="224"/>
      <c r="AE141" s="88"/>
      <c r="AF141" s="88"/>
      <c r="AG141" s="86"/>
      <c r="AH141" s="86"/>
      <c r="AI141" s="89"/>
      <c r="AJ141" s="86"/>
      <c r="AK141" s="86"/>
      <c r="AL141" s="86"/>
      <c r="AM141" s="86"/>
      <c r="AN141" s="86"/>
      <c r="AO141" s="86"/>
      <c r="AP141" s="115"/>
      <c r="AQ141" s="116"/>
      <c r="AR141" s="116"/>
      <c r="AS141" s="136"/>
      <c r="AT141" s="116"/>
      <c r="AU141" s="86"/>
      <c r="AV141" s="86"/>
      <c r="AW141" s="86"/>
      <c r="AX141" s="86"/>
      <c r="AY141" s="86"/>
      <c r="AZ141" s="90"/>
      <c r="BA141" s="90"/>
      <c r="BB141" s="86"/>
      <c r="BC141" s="116"/>
      <c r="BD141" s="116"/>
      <c r="BE141" s="116"/>
      <c r="BF141" s="86"/>
      <c r="BG141" s="91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261"/>
      <c r="CG141" s="337"/>
    </row>
    <row r="142" spans="1:85" s="263" customFormat="1" ht="15.75" x14ac:dyDescent="0.2">
      <c r="A142" s="84"/>
      <c r="B142" s="85"/>
      <c r="C142" s="84"/>
      <c r="D142" s="88"/>
      <c r="E142" s="88"/>
      <c r="F142" s="201"/>
      <c r="G142" s="88"/>
      <c r="H142" s="216"/>
      <c r="I142" s="220"/>
      <c r="J142" s="202"/>
      <c r="K142" s="88"/>
      <c r="L142" s="203"/>
      <c r="M142" s="203"/>
      <c r="N142" s="201"/>
      <c r="O142" s="202"/>
      <c r="P142" s="344"/>
      <c r="Q142" s="203"/>
      <c r="R142" s="343"/>
      <c r="S142" s="87"/>
      <c r="T142" s="87"/>
      <c r="U142" s="88"/>
      <c r="V142" s="203"/>
      <c r="W142" s="203"/>
      <c r="X142" s="201"/>
      <c r="Y142" s="201"/>
      <c r="Z142" s="87"/>
      <c r="AA142" s="224"/>
      <c r="AB142" s="201"/>
      <c r="AC142" s="335"/>
      <c r="AD142" s="224"/>
      <c r="AE142" s="88"/>
      <c r="AF142" s="88"/>
      <c r="AG142" s="86"/>
      <c r="AH142" s="86"/>
      <c r="AI142" s="89"/>
      <c r="AJ142" s="86"/>
      <c r="AK142" s="86"/>
      <c r="AL142" s="86"/>
      <c r="AM142" s="86"/>
      <c r="AN142" s="86"/>
      <c r="AO142" s="86"/>
      <c r="AP142" s="115"/>
      <c r="AQ142" s="116"/>
      <c r="AR142" s="116"/>
      <c r="AS142" s="136"/>
      <c r="AT142" s="116"/>
      <c r="AU142" s="86"/>
      <c r="AV142" s="86"/>
      <c r="AW142" s="86"/>
      <c r="AX142" s="86"/>
      <c r="AY142" s="86"/>
      <c r="AZ142" s="90"/>
      <c r="BA142" s="90"/>
      <c r="BB142" s="86"/>
      <c r="BC142" s="116"/>
      <c r="BD142" s="116"/>
      <c r="BE142" s="116"/>
      <c r="BF142" s="86"/>
      <c r="BG142" s="91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261"/>
      <c r="CG142" s="337"/>
    </row>
    <row r="143" spans="1:85" s="263" customFormat="1" ht="15.75" x14ac:dyDescent="0.2">
      <c r="A143" s="84"/>
      <c r="B143" s="85"/>
      <c r="C143" s="84"/>
      <c r="D143" s="88"/>
      <c r="E143" s="88"/>
      <c r="F143" s="201"/>
      <c r="G143" s="88"/>
      <c r="H143" s="216"/>
      <c r="I143" s="220"/>
      <c r="J143" s="202"/>
      <c r="K143" s="88"/>
      <c r="L143" s="203"/>
      <c r="M143" s="203"/>
      <c r="N143" s="201"/>
      <c r="O143" s="202"/>
      <c r="P143" s="88"/>
      <c r="Q143" s="203"/>
      <c r="R143" s="343"/>
      <c r="S143" s="87"/>
      <c r="T143" s="87"/>
      <c r="U143" s="88"/>
      <c r="V143" s="203"/>
      <c r="W143" s="203"/>
      <c r="X143" s="201"/>
      <c r="Y143" s="201"/>
      <c r="Z143" s="87"/>
      <c r="AA143" s="224"/>
      <c r="AB143" s="201"/>
      <c r="AC143" s="335"/>
      <c r="AD143" s="224"/>
      <c r="AE143" s="88"/>
      <c r="AF143" s="88"/>
      <c r="AG143" s="86"/>
      <c r="AH143" s="86"/>
      <c r="AI143" s="89"/>
      <c r="AJ143" s="86"/>
      <c r="AK143" s="86"/>
      <c r="AL143" s="86"/>
      <c r="AM143" s="86"/>
      <c r="AN143" s="86"/>
      <c r="AO143" s="86"/>
      <c r="AP143" s="115"/>
      <c r="AQ143" s="116"/>
      <c r="AR143" s="116"/>
      <c r="AS143" s="136"/>
      <c r="AT143" s="116"/>
      <c r="AU143" s="86"/>
      <c r="AV143" s="86"/>
      <c r="AW143" s="86"/>
      <c r="AX143" s="86"/>
      <c r="AY143" s="86"/>
      <c r="AZ143" s="90"/>
      <c r="BA143" s="90"/>
      <c r="BB143" s="86"/>
      <c r="BC143" s="116"/>
      <c r="BD143" s="116"/>
      <c r="BE143" s="116"/>
      <c r="BF143" s="86"/>
      <c r="BG143" s="91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261"/>
      <c r="CG143" s="337"/>
    </row>
    <row r="144" spans="1:85" s="263" customFormat="1" ht="15.75" x14ac:dyDescent="0.2">
      <c r="A144" s="84"/>
      <c r="B144" s="85"/>
      <c r="C144" s="84"/>
      <c r="D144" s="88"/>
      <c r="E144" s="88"/>
      <c r="F144" s="201"/>
      <c r="G144" s="88"/>
      <c r="H144" s="216"/>
      <c r="I144" s="220"/>
      <c r="J144" s="202"/>
      <c r="K144" s="88"/>
      <c r="L144" s="203"/>
      <c r="M144" s="203"/>
      <c r="N144" s="201"/>
      <c r="O144" s="202"/>
      <c r="P144" s="88"/>
      <c r="Q144" s="203"/>
      <c r="R144" s="343"/>
      <c r="S144" s="87"/>
      <c r="T144" s="87"/>
      <c r="U144" s="88"/>
      <c r="V144" s="203"/>
      <c r="W144" s="203"/>
      <c r="X144" s="201"/>
      <c r="Y144" s="201"/>
      <c r="Z144" s="87"/>
      <c r="AA144" s="224"/>
      <c r="AB144" s="201"/>
      <c r="AC144" s="335"/>
      <c r="AD144" s="224"/>
      <c r="AE144" s="88"/>
      <c r="AF144" s="88"/>
      <c r="AG144" s="86"/>
      <c r="AH144" s="86"/>
      <c r="AI144" s="89"/>
      <c r="AJ144" s="86"/>
      <c r="AK144" s="86"/>
      <c r="AL144" s="86"/>
      <c r="AM144" s="86"/>
      <c r="AN144" s="86"/>
      <c r="AO144" s="86"/>
      <c r="AP144" s="115"/>
      <c r="AQ144" s="116"/>
      <c r="AR144" s="116"/>
      <c r="AS144" s="136"/>
      <c r="AT144" s="116"/>
      <c r="AU144" s="86"/>
      <c r="AV144" s="86"/>
      <c r="AW144" s="86"/>
      <c r="AX144" s="86"/>
      <c r="AY144" s="86"/>
      <c r="AZ144" s="90"/>
      <c r="BA144" s="90"/>
      <c r="BB144" s="86"/>
      <c r="BC144" s="116"/>
      <c r="BD144" s="116"/>
      <c r="BE144" s="116"/>
      <c r="BF144" s="86"/>
      <c r="BG144" s="91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261"/>
      <c r="CG144" s="337"/>
    </row>
    <row r="145" spans="1:85" s="263" customFormat="1" ht="15" x14ac:dyDescent="0.2">
      <c r="A145" s="84"/>
      <c r="B145" s="85"/>
      <c r="C145" s="84"/>
      <c r="D145" s="88"/>
      <c r="E145" s="88"/>
      <c r="F145" s="201"/>
      <c r="G145" s="88"/>
      <c r="H145" s="216"/>
      <c r="I145" s="220"/>
      <c r="J145" s="202"/>
      <c r="K145" s="88"/>
      <c r="L145" s="203"/>
      <c r="M145" s="203"/>
      <c r="N145" s="201"/>
      <c r="O145" s="202"/>
      <c r="P145" s="88"/>
      <c r="Q145" s="203"/>
      <c r="R145" s="203"/>
      <c r="S145" s="87"/>
      <c r="T145" s="87"/>
      <c r="U145" s="88"/>
      <c r="V145" s="203"/>
      <c r="W145" s="203"/>
      <c r="X145" s="201"/>
      <c r="Y145" s="201"/>
      <c r="Z145" s="87"/>
      <c r="AA145" s="224"/>
      <c r="AB145" s="201"/>
      <c r="AC145" s="335"/>
      <c r="AD145" s="224"/>
      <c r="AE145" s="88"/>
      <c r="AF145" s="88"/>
      <c r="AG145" s="86"/>
      <c r="AH145" s="86"/>
      <c r="AI145" s="89"/>
      <c r="AJ145" s="86"/>
      <c r="AK145" s="86"/>
      <c r="AL145" s="86"/>
      <c r="AM145" s="86"/>
      <c r="AN145" s="86"/>
      <c r="AO145" s="86"/>
      <c r="AP145" s="115"/>
      <c r="AQ145" s="116"/>
      <c r="AR145" s="116"/>
      <c r="AS145" s="136"/>
      <c r="AT145" s="116"/>
      <c r="AU145" s="86"/>
      <c r="AV145" s="86"/>
      <c r="AW145" s="86"/>
      <c r="AX145" s="86"/>
      <c r="AY145" s="86"/>
      <c r="AZ145" s="90"/>
      <c r="BA145" s="90"/>
      <c r="BB145" s="86"/>
      <c r="BC145" s="116"/>
      <c r="BD145" s="116"/>
      <c r="BE145" s="116"/>
      <c r="BF145" s="86"/>
      <c r="BG145" s="91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261"/>
      <c r="CG145" s="337"/>
    </row>
    <row r="146" spans="1:85" s="263" customFormat="1" ht="15.75" x14ac:dyDescent="0.2">
      <c r="A146" s="84"/>
      <c r="B146" s="85"/>
      <c r="C146" s="84"/>
      <c r="D146" s="88"/>
      <c r="E146" s="88"/>
      <c r="F146" s="201"/>
      <c r="G146" s="88"/>
      <c r="H146" s="216"/>
      <c r="I146" s="220"/>
      <c r="J146" s="202"/>
      <c r="K146" s="88"/>
      <c r="L146" s="203"/>
      <c r="M146" s="203"/>
      <c r="N146" s="201"/>
      <c r="O146" s="202"/>
      <c r="P146" s="88"/>
      <c r="Q146" s="203"/>
      <c r="R146" s="343"/>
      <c r="S146" s="87"/>
      <c r="T146" s="87"/>
      <c r="U146" s="88"/>
      <c r="V146" s="203"/>
      <c r="W146" s="203"/>
      <c r="X146" s="201"/>
      <c r="Y146" s="201"/>
      <c r="Z146" s="87"/>
      <c r="AA146" s="224"/>
      <c r="AB146" s="201"/>
      <c r="AC146" s="335"/>
      <c r="AD146" s="224"/>
      <c r="AE146" s="88"/>
      <c r="AF146" s="88"/>
      <c r="AG146" s="86"/>
      <c r="AH146" s="86"/>
      <c r="AI146" s="89"/>
      <c r="AJ146" s="86"/>
      <c r="AK146" s="86"/>
      <c r="AL146" s="86"/>
      <c r="AM146" s="86"/>
      <c r="AN146" s="86"/>
      <c r="AO146" s="86"/>
      <c r="AP146" s="115"/>
      <c r="AQ146" s="116"/>
      <c r="AR146" s="116"/>
      <c r="AS146" s="136"/>
      <c r="AT146" s="116"/>
      <c r="AU146" s="86"/>
      <c r="AV146" s="86"/>
      <c r="AW146" s="86"/>
      <c r="AX146" s="86"/>
      <c r="AY146" s="86"/>
      <c r="AZ146" s="90"/>
      <c r="BA146" s="90"/>
      <c r="BB146" s="86"/>
      <c r="BC146" s="116"/>
      <c r="BD146" s="116"/>
      <c r="BE146" s="116"/>
      <c r="BF146" s="86"/>
      <c r="BG146" s="91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261"/>
      <c r="CG146" s="337"/>
    </row>
    <row r="147" spans="1:85" s="263" customFormat="1" ht="15.75" x14ac:dyDescent="0.2">
      <c r="A147" s="84"/>
      <c r="B147" s="85"/>
      <c r="C147" s="84"/>
      <c r="D147" s="88"/>
      <c r="E147" s="88"/>
      <c r="F147" s="201"/>
      <c r="G147" s="88"/>
      <c r="H147" s="216"/>
      <c r="I147" s="220"/>
      <c r="J147" s="202"/>
      <c r="K147" s="88"/>
      <c r="L147" s="342"/>
      <c r="M147" s="203"/>
      <c r="N147" s="201"/>
      <c r="O147" s="202"/>
      <c r="P147" s="88"/>
      <c r="Q147" s="203"/>
      <c r="R147" s="342"/>
      <c r="S147" s="87"/>
      <c r="T147" s="87"/>
      <c r="U147" s="88"/>
      <c r="V147" s="203"/>
      <c r="W147" s="203"/>
      <c r="X147" s="201"/>
      <c r="Y147" s="201"/>
      <c r="Z147" s="87"/>
      <c r="AA147" s="224"/>
      <c r="AB147" s="201"/>
      <c r="AC147" s="335"/>
      <c r="AD147" s="224"/>
      <c r="AE147" s="88"/>
      <c r="AF147" s="88"/>
      <c r="AG147" s="86"/>
      <c r="AH147" s="86"/>
      <c r="AI147" s="89"/>
      <c r="AJ147" s="86"/>
      <c r="AK147" s="86"/>
      <c r="AL147" s="86"/>
      <c r="AM147" s="86"/>
      <c r="AN147" s="86"/>
      <c r="AO147" s="86"/>
      <c r="AP147" s="115"/>
      <c r="AQ147" s="116"/>
      <c r="AR147" s="116"/>
      <c r="AS147" s="136"/>
      <c r="AT147" s="116"/>
      <c r="AU147" s="86"/>
      <c r="AV147" s="86"/>
      <c r="AW147" s="86"/>
      <c r="AX147" s="86"/>
      <c r="AY147" s="86"/>
      <c r="AZ147" s="90"/>
      <c r="BA147" s="90"/>
      <c r="BB147" s="86"/>
      <c r="BC147" s="116"/>
      <c r="BD147" s="116"/>
      <c r="BE147" s="116"/>
      <c r="BF147" s="86"/>
      <c r="BG147" s="91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261"/>
      <c r="CG147" s="337"/>
    </row>
    <row r="148" spans="1:85" s="263" customFormat="1" ht="15" x14ac:dyDescent="0.2">
      <c r="A148" s="84"/>
      <c r="B148" s="85"/>
      <c r="C148" s="84"/>
      <c r="D148" s="88"/>
      <c r="E148" s="88"/>
      <c r="F148" s="201"/>
      <c r="G148" s="88"/>
      <c r="H148" s="216"/>
      <c r="I148" s="220"/>
      <c r="J148" s="202"/>
      <c r="K148" s="88"/>
      <c r="L148" s="203"/>
      <c r="M148" s="203"/>
      <c r="N148" s="201"/>
      <c r="O148" s="202"/>
      <c r="P148" s="88"/>
      <c r="Q148" s="203"/>
      <c r="R148" s="203"/>
      <c r="S148" s="87"/>
      <c r="T148" s="87"/>
      <c r="U148" s="88"/>
      <c r="V148" s="203"/>
      <c r="W148" s="203"/>
      <c r="X148" s="201"/>
      <c r="Y148" s="201"/>
      <c r="Z148" s="87"/>
      <c r="AA148" s="224"/>
      <c r="AB148" s="201"/>
      <c r="AC148" s="335"/>
      <c r="AD148" s="224"/>
      <c r="AE148" s="88"/>
      <c r="AF148" s="88"/>
      <c r="AG148" s="86"/>
      <c r="AH148" s="86"/>
      <c r="AI148" s="89"/>
      <c r="AJ148" s="86"/>
      <c r="AK148" s="86"/>
      <c r="AL148" s="86"/>
      <c r="AM148" s="86"/>
      <c r="AN148" s="86"/>
      <c r="AO148" s="86"/>
      <c r="AP148" s="115"/>
      <c r="AQ148" s="116"/>
      <c r="AR148" s="116"/>
      <c r="AS148" s="136"/>
      <c r="AT148" s="116"/>
      <c r="AU148" s="86"/>
      <c r="AV148" s="86"/>
      <c r="AW148" s="86"/>
      <c r="AX148" s="86"/>
      <c r="AY148" s="86"/>
      <c r="AZ148" s="90"/>
      <c r="BA148" s="90"/>
      <c r="BB148" s="86"/>
      <c r="BC148" s="116"/>
      <c r="BD148" s="116"/>
      <c r="BE148" s="116"/>
      <c r="BF148" s="86"/>
      <c r="BG148" s="91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261"/>
      <c r="CG148" s="337"/>
    </row>
    <row r="149" spans="1:85" s="263" customFormat="1" ht="15" x14ac:dyDescent="0.2">
      <c r="A149" s="84"/>
      <c r="B149" s="85"/>
      <c r="C149" s="84"/>
      <c r="D149" s="88"/>
      <c r="E149" s="88"/>
      <c r="F149" s="201"/>
      <c r="G149" s="88"/>
      <c r="H149" s="216"/>
      <c r="I149" s="220"/>
      <c r="J149" s="202"/>
      <c r="K149" s="88"/>
      <c r="L149" s="203"/>
      <c r="M149" s="203"/>
      <c r="N149" s="201"/>
      <c r="O149" s="202"/>
      <c r="P149" s="88"/>
      <c r="Q149" s="203"/>
      <c r="R149" s="203"/>
      <c r="S149" s="87"/>
      <c r="T149" s="87"/>
      <c r="U149" s="88"/>
      <c r="V149" s="203"/>
      <c r="W149" s="203"/>
      <c r="X149" s="201"/>
      <c r="Y149" s="201"/>
      <c r="Z149" s="87"/>
      <c r="AA149" s="224"/>
      <c r="AB149" s="201"/>
      <c r="AC149" s="335"/>
      <c r="AD149" s="224"/>
      <c r="AE149" s="88"/>
      <c r="AF149" s="88"/>
      <c r="AG149" s="86"/>
      <c r="AH149" s="86"/>
      <c r="AI149" s="89"/>
      <c r="AJ149" s="86"/>
      <c r="AK149" s="86"/>
      <c r="AL149" s="86"/>
      <c r="AM149" s="86"/>
      <c r="AN149" s="86"/>
      <c r="AO149" s="86"/>
      <c r="AP149" s="115"/>
      <c r="AQ149" s="116"/>
      <c r="AR149" s="116"/>
      <c r="AS149" s="136"/>
      <c r="AT149" s="116"/>
      <c r="AU149" s="86"/>
      <c r="AV149" s="86"/>
      <c r="AW149" s="86"/>
      <c r="AX149" s="86"/>
      <c r="AY149" s="86"/>
      <c r="AZ149" s="90"/>
      <c r="BA149" s="90"/>
      <c r="BB149" s="86"/>
      <c r="BC149" s="116"/>
      <c r="BD149" s="116"/>
      <c r="BE149" s="116"/>
      <c r="BF149" s="86"/>
      <c r="BG149" s="91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261"/>
      <c r="CG149" s="337"/>
    </row>
    <row r="150" spans="1:85" s="263" customFormat="1" ht="15" x14ac:dyDescent="0.2">
      <c r="A150" s="84"/>
      <c r="B150" s="85"/>
      <c r="C150" s="84"/>
      <c r="D150" s="88"/>
      <c r="E150" s="88"/>
      <c r="F150" s="201"/>
      <c r="G150" s="88"/>
      <c r="H150" s="216"/>
      <c r="I150" s="220"/>
      <c r="J150" s="202"/>
      <c r="K150" s="88"/>
      <c r="L150" s="203"/>
      <c r="M150" s="203"/>
      <c r="N150" s="201"/>
      <c r="O150" s="202"/>
      <c r="P150" s="88"/>
      <c r="Q150" s="203"/>
      <c r="R150" s="203"/>
      <c r="S150" s="87"/>
      <c r="T150" s="87"/>
      <c r="U150" s="88"/>
      <c r="V150" s="203"/>
      <c r="W150" s="203"/>
      <c r="X150" s="201"/>
      <c r="Y150" s="201"/>
      <c r="Z150" s="87"/>
      <c r="AA150" s="224"/>
      <c r="AB150" s="201"/>
      <c r="AC150" s="335"/>
      <c r="AD150" s="224"/>
      <c r="AE150" s="88"/>
      <c r="AF150" s="88"/>
      <c r="AG150" s="86"/>
      <c r="AH150" s="86"/>
      <c r="AI150" s="89"/>
      <c r="AJ150" s="86"/>
      <c r="AK150" s="86"/>
      <c r="AL150" s="86"/>
      <c r="AM150" s="86"/>
      <c r="AN150" s="86"/>
      <c r="AO150" s="86"/>
      <c r="AP150" s="115"/>
      <c r="AQ150" s="116"/>
      <c r="AR150" s="116"/>
      <c r="AS150" s="136"/>
      <c r="AT150" s="116"/>
      <c r="AU150" s="86"/>
      <c r="AV150" s="86"/>
      <c r="AW150" s="86"/>
      <c r="AX150" s="86"/>
      <c r="AY150" s="86"/>
      <c r="AZ150" s="90"/>
      <c r="BA150" s="90"/>
      <c r="BB150" s="86"/>
      <c r="BC150" s="116"/>
      <c r="BD150" s="116"/>
      <c r="BE150" s="116"/>
      <c r="BF150" s="86"/>
      <c r="BG150" s="91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261"/>
      <c r="CG150" s="337"/>
    </row>
    <row r="151" spans="1:85" s="263" customFormat="1" ht="15" x14ac:dyDescent="0.2">
      <c r="A151" s="84"/>
      <c r="B151" s="85"/>
      <c r="C151" s="84"/>
      <c r="D151" s="88"/>
      <c r="E151" s="88"/>
      <c r="F151" s="201"/>
      <c r="G151" s="88"/>
      <c r="H151" s="216"/>
      <c r="I151" s="220"/>
      <c r="J151" s="202"/>
      <c r="K151" s="88"/>
      <c r="L151" s="203"/>
      <c r="M151" s="203"/>
      <c r="N151" s="201"/>
      <c r="O151" s="202"/>
      <c r="P151" s="88"/>
      <c r="Q151" s="203"/>
      <c r="R151" s="203"/>
      <c r="S151" s="87"/>
      <c r="T151" s="87"/>
      <c r="U151" s="88"/>
      <c r="V151" s="203"/>
      <c r="W151" s="203"/>
      <c r="X151" s="201"/>
      <c r="Y151" s="201"/>
      <c r="Z151" s="87"/>
      <c r="AA151" s="224"/>
      <c r="AB151" s="201"/>
      <c r="AC151" s="335"/>
      <c r="AD151" s="224"/>
      <c r="AE151" s="88"/>
      <c r="AF151" s="88"/>
      <c r="AG151" s="86"/>
      <c r="AH151" s="86"/>
      <c r="AI151" s="89"/>
      <c r="AJ151" s="86"/>
      <c r="AK151" s="86"/>
      <c r="AL151" s="86"/>
      <c r="AM151" s="86"/>
      <c r="AN151" s="86"/>
      <c r="AO151" s="86"/>
      <c r="AP151" s="115"/>
      <c r="AQ151" s="116"/>
      <c r="AR151" s="116"/>
      <c r="AS151" s="136"/>
      <c r="AT151" s="116"/>
      <c r="AU151" s="86"/>
      <c r="AV151" s="86"/>
      <c r="AW151" s="86"/>
      <c r="AX151" s="86"/>
      <c r="AY151" s="86"/>
      <c r="AZ151" s="90"/>
      <c r="BA151" s="90"/>
      <c r="BB151" s="86"/>
      <c r="BC151" s="116"/>
      <c r="BD151" s="116"/>
      <c r="BE151" s="116"/>
      <c r="BF151" s="86"/>
      <c r="BG151" s="91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261"/>
      <c r="CG151" s="337"/>
    </row>
    <row r="152" spans="1:85" s="263" customFormat="1" ht="15" x14ac:dyDescent="0.2">
      <c r="A152" s="84"/>
      <c r="B152" s="85"/>
      <c r="C152" s="84"/>
      <c r="D152" s="88"/>
      <c r="E152" s="88"/>
      <c r="F152" s="201"/>
      <c r="G152" s="88"/>
      <c r="H152" s="216"/>
      <c r="I152" s="220"/>
      <c r="J152" s="202"/>
      <c r="K152" s="88"/>
      <c r="L152" s="203"/>
      <c r="M152" s="203"/>
      <c r="N152" s="201"/>
      <c r="O152" s="202"/>
      <c r="P152" s="88"/>
      <c r="Q152" s="203"/>
      <c r="R152" s="203"/>
      <c r="S152" s="87"/>
      <c r="T152" s="87"/>
      <c r="U152" s="88"/>
      <c r="V152" s="203"/>
      <c r="W152" s="203"/>
      <c r="X152" s="201"/>
      <c r="Y152" s="201"/>
      <c r="Z152" s="87"/>
      <c r="AA152" s="224"/>
      <c r="AB152" s="201"/>
      <c r="AC152" s="335"/>
      <c r="AD152" s="224"/>
      <c r="AE152" s="88"/>
      <c r="AF152" s="88"/>
      <c r="AG152" s="86"/>
      <c r="AH152" s="86"/>
      <c r="AI152" s="89"/>
      <c r="AJ152" s="86"/>
      <c r="AK152" s="86"/>
      <c r="AL152" s="86"/>
      <c r="AM152" s="86"/>
      <c r="AN152" s="86"/>
      <c r="AO152" s="86"/>
      <c r="AP152" s="115"/>
      <c r="AQ152" s="116"/>
      <c r="AR152" s="116"/>
      <c r="AS152" s="136"/>
      <c r="AT152" s="116"/>
      <c r="AU152" s="86"/>
      <c r="AV152" s="86"/>
      <c r="AW152" s="86"/>
      <c r="AX152" s="86"/>
      <c r="AY152" s="86"/>
      <c r="AZ152" s="90"/>
      <c r="BA152" s="90"/>
      <c r="BB152" s="86"/>
      <c r="BC152" s="116"/>
      <c r="BD152" s="116"/>
      <c r="BE152" s="116"/>
      <c r="BF152" s="86"/>
      <c r="BG152" s="91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261"/>
      <c r="CG152" s="337"/>
    </row>
    <row r="153" spans="1:85" s="263" customFormat="1" ht="15" x14ac:dyDescent="0.2">
      <c r="A153" s="84"/>
      <c r="B153" s="85"/>
      <c r="C153" s="84"/>
      <c r="D153" s="88"/>
      <c r="E153" s="88"/>
      <c r="F153" s="201"/>
      <c r="G153" s="88"/>
      <c r="H153" s="216"/>
      <c r="I153" s="220"/>
      <c r="J153" s="202"/>
      <c r="K153" s="88"/>
      <c r="L153" s="203"/>
      <c r="M153" s="203"/>
      <c r="N153" s="201"/>
      <c r="O153" s="202"/>
      <c r="P153" s="88"/>
      <c r="Q153" s="203"/>
      <c r="R153" s="203"/>
      <c r="S153" s="87"/>
      <c r="T153" s="87"/>
      <c r="U153" s="88"/>
      <c r="V153" s="203"/>
      <c r="W153" s="203"/>
      <c r="X153" s="201"/>
      <c r="Y153" s="201"/>
      <c r="Z153" s="87"/>
      <c r="AA153" s="224"/>
      <c r="AB153" s="201"/>
      <c r="AC153" s="335"/>
      <c r="AD153" s="224"/>
      <c r="AE153" s="88"/>
      <c r="AF153" s="88"/>
      <c r="AG153" s="86"/>
      <c r="AH153" s="86"/>
      <c r="AI153" s="89"/>
      <c r="AJ153" s="86"/>
      <c r="AK153" s="86"/>
      <c r="AL153" s="86"/>
      <c r="AM153" s="86"/>
      <c r="AN153" s="86"/>
      <c r="AO153" s="86"/>
      <c r="AP153" s="115"/>
      <c r="AQ153" s="116"/>
      <c r="AR153" s="116"/>
      <c r="AS153" s="136"/>
      <c r="AT153" s="116"/>
      <c r="AU153" s="86"/>
      <c r="AV153" s="86"/>
      <c r="AW153" s="86"/>
      <c r="AX153" s="86"/>
      <c r="AY153" s="86"/>
      <c r="AZ153" s="90"/>
      <c r="BA153" s="90"/>
      <c r="BB153" s="86"/>
      <c r="BC153" s="116"/>
      <c r="BD153" s="116"/>
      <c r="BE153" s="116"/>
      <c r="BF153" s="86"/>
      <c r="BG153" s="91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261"/>
      <c r="CG153" s="337"/>
    </row>
    <row r="154" spans="1:85" s="263" customFormat="1" ht="15" x14ac:dyDescent="0.2">
      <c r="A154" s="84"/>
      <c r="B154" s="85"/>
      <c r="C154" s="84"/>
      <c r="D154" s="88"/>
      <c r="E154" s="88"/>
      <c r="F154" s="201"/>
      <c r="G154" s="88"/>
      <c r="H154" s="216"/>
      <c r="I154" s="220"/>
      <c r="J154" s="202"/>
      <c r="K154" s="88"/>
      <c r="L154" s="203"/>
      <c r="M154" s="203"/>
      <c r="N154" s="201"/>
      <c r="O154" s="202"/>
      <c r="P154" s="88"/>
      <c r="Q154" s="203"/>
      <c r="R154" s="203"/>
      <c r="S154" s="87"/>
      <c r="T154" s="87"/>
      <c r="U154" s="88"/>
      <c r="V154" s="203"/>
      <c r="W154" s="203"/>
      <c r="X154" s="201"/>
      <c r="Y154" s="201"/>
      <c r="Z154" s="87"/>
      <c r="AA154" s="224"/>
      <c r="AB154" s="201"/>
      <c r="AC154" s="335"/>
      <c r="AD154" s="224"/>
      <c r="AE154" s="88"/>
      <c r="AF154" s="88"/>
      <c r="AG154" s="86"/>
      <c r="AH154" s="86"/>
      <c r="AI154" s="89"/>
      <c r="AJ154" s="86"/>
      <c r="AK154" s="86"/>
      <c r="AL154" s="86"/>
      <c r="AM154" s="86"/>
      <c r="AN154" s="86"/>
      <c r="AO154" s="86"/>
      <c r="AP154" s="115"/>
      <c r="AQ154" s="116"/>
      <c r="AR154" s="116"/>
      <c r="AS154" s="136"/>
      <c r="AT154" s="116"/>
      <c r="AU154" s="86"/>
      <c r="AV154" s="86"/>
      <c r="AW154" s="86"/>
      <c r="AX154" s="86"/>
      <c r="AY154" s="86"/>
      <c r="AZ154" s="90"/>
      <c r="BA154" s="90"/>
      <c r="BB154" s="86"/>
      <c r="BC154" s="116"/>
      <c r="BD154" s="116"/>
      <c r="BE154" s="116"/>
      <c r="BF154" s="86"/>
      <c r="BG154" s="91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261"/>
      <c r="CG154" s="337"/>
    </row>
    <row r="155" spans="1:85" s="263" customFormat="1" ht="15" x14ac:dyDescent="0.2">
      <c r="A155" s="84"/>
      <c r="B155" s="85"/>
      <c r="C155" s="84"/>
      <c r="D155" s="88"/>
      <c r="E155" s="88"/>
      <c r="F155" s="201"/>
      <c r="G155" s="88"/>
      <c r="H155" s="216"/>
      <c r="I155" s="220"/>
      <c r="J155" s="202"/>
      <c r="K155" s="88"/>
      <c r="L155" s="203"/>
      <c r="M155" s="203"/>
      <c r="N155" s="201"/>
      <c r="O155" s="202"/>
      <c r="P155" s="88"/>
      <c r="Q155" s="203"/>
      <c r="R155" s="203"/>
      <c r="S155" s="87"/>
      <c r="T155" s="87"/>
      <c r="U155" s="88"/>
      <c r="V155" s="203"/>
      <c r="W155" s="203"/>
      <c r="X155" s="201"/>
      <c r="Y155" s="201"/>
      <c r="Z155" s="87"/>
      <c r="AA155" s="224"/>
      <c r="AB155" s="201"/>
      <c r="AC155" s="335"/>
      <c r="AD155" s="224"/>
      <c r="AE155" s="88"/>
      <c r="AF155" s="88"/>
      <c r="AG155" s="86"/>
      <c r="AH155" s="86"/>
      <c r="AI155" s="89"/>
      <c r="AJ155" s="86"/>
      <c r="AK155" s="86"/>
      <c r="AL155" s="86"/>
      <c r="AM155" s="86"/>
      <c r="AN155" s="86"/>
      <c r="AO155" s="86"/>
      <c r="AP155" s="115"/>
      <c r="AQ155" s="116"/>
      <c r="AR155" s="116"/>
      <c r="AS155" s="136"/>
      <c r="AT155" s="116"/>
      <c r="AU155" s="86"/>
      <c r="AV155" s="86"/>
      <c r="AW155" s="86"/>
      <c r="AX155" s="86"/>
      <c r="AY155" s="86"/>
      <c r="AZ155" s="90"/>
      <c r="BA155" s="90"/>
      <c r="BB155" s="86"/>
      <c r="BC155" s="116"/>
      <c r="BD155" s="116"/>
      <c r="BE155" s="116"/>
      <c r="BF155" s="86"/>
      <c r="BG155" s="91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261"/>
      <c r="CG155" s="337"/>
    </row>
    <row r="156" spans="1:85" s="263" customFormat="1" ht="15" x14ac:dyDescent="0.2">
      <c r="A156" s="84"/>
      <c r="B156" s="85"/>
      <c r="C156" s="84"/>
      <c r="D156" s="88"/>
      <c r="E156" s="88"/>
      <c r="F156" s="201"/>
      <c r="G156" s="88"/>
      <c r="H156" s="216"/>
      <c r="I156" s="220"/>
      <c r="J156" s="202"/>
      <c r="K156" s="88"/>
      <c r="L156" s="203"/>
      <c r="M156" s="203"/>
      <c r="N156" s="201"/>
      <c r="O156" s="202"/>
      <c r="P156" s="88"/>
      <c r="Q156" s="203"/>
      <c r="R156" s="203"/>
      <c r="S156" s="87"/>
      <c r="T156" s="87"/>
      <c r="U156" s="88"/>
      <c r="V156" s="203"/>
      <c r="W156" s="203"/>
      <c r="X156" s="201"/>
      <c r="Y156" s="201"/>
      <c r="Z156" s="87"/>
      <c r="AA156" s="224"/>
      <c r="AB156" s="201"/>
      <c r="AC156" s="335"/>
      <c r="AD156" s="224"/>
      <c r="AE156" s="88"/>
      <c r="AF156" s="88"/>
      <c r="AG156" s="86"/>
      <c r="AH156" s="86"/>
      <c r="AI156" s="89"/>
      <c r="AJ156" s="86"/>
      <c r="AK156" s="86"/>
      <c r="AL156" s="86"/>
      <c r="AM156" s="86"/>
      <c r="AN156" s="86"/>
      <c r="AO156" s="86"/>
      <c r="AP156" s="115"/>
      <c r="AQ156" s="116"/>
      <c r="AR156" s="116"/>
      <c r="AS156" s="136"/>
      <c r="AT156" s="116"/>
      <c r="AU156" s="86"/>
      <c r="AV156" s="86"/>
      <c r="AW156" s="86"/>
      <c r="AX156" s="86"/>
      <c r="AY156" s="86"/>
      <c r="AZ156" s="90"/>
      <c r="BA156" s="90"/>
      <c r="BB156" s="86"/>
      <c r="BC156" s="116"/>
      <c r="BD156" s="116"/>
      <c r="BE156" s="116"/>
      <c r="BF156" s="86"/>
      <c r="BG156" s="91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261"/>
      <c r="CG156" s="337"/>
    </row>
    <row r="157" spans="1:85" s="263" customFormat="1" ht="15" x14ac:dyDescent="0.2">
      <c r="A157" s="84"/>
      <c r="B157" s="85"/>
      <c r="C157" s="84"/>
      <c r="D157" s="88"/>
      <c r="E157" s="88"/>
      <c r="F157" s="201"/>
      <c r="G157" s="88"/>
      <c r="H157" s="216"/>
      <c r="I157" s="220"/>
      <c r="J157" s="202"/>
      <c r="K157" s="88"/>
      <c r="L157" s="203"/>
      <c r="M157" s="203"/>
      <c r="N157" s="201"/>
      <c r="O157" s="202"/>
      <c r="P157" s="88"/>
      <c r="Q157" s="203"/>
      <c r="R157" s="203"/>
      <c r="S157" s="87"/>
      <c r="T157" s="87"/>
      <c r="U157" s="88"/>
      <c r="V157" s="203"/>
      <c r="W157" s="203"/>
      <c r="X157" s="201"/>
      <c r="Y157" s="201"/>
      <c r="Z157" s="87"/>
      <c r="AA157" s="224"/>
      <c r="AB157" s="201"/>
      <c r="AC157" s="335"/>
      <c r="AD157" s="224"/>
      <c r="AE157" s="88"/>
      <c r="AF157" s="88"/>
      <c r="AG157" s="86"/>
      <c r="AH157" s="86"/>
      <c r="AI157" s="89"/>
      <c r="AJ157" s="86"/>
      <c r="AK157" s="86"/>
      <c r="AL157" s="86"/>
      <c r="AM157" s="86"/>
      <c r="AN157" s="86"/>
      <c r="AO157" s="86"/>
      <c r="AP157" s="115"/>
      <c r="AQ157" s="116"/>
      <c r="AR157" s="116"/>
      <c r="AS157" s="136"/>
      <c r="AT157" s="116"/>
      <c r="AU157" s="86"/>
      <c r="AV157" s="86"/>
      <c r="AW157" s="86"/>
      <c r="AX157" s="86"/>
      <c r="AY157" s="86"/>
      <c r="AZ157" s="90"/>
      <c r="BA157" s="90"/>
      <c r="BB157" s="86"/>
      <c r="BC157" s="116"/>
      <c r="BD157" s="116"/>
      <c r="BE157" s="116"/>
      <c r="BF157" s="86"/>
      <c r="BG157" s="91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261"/>
      <c r="CG157" s="337"/>
    </row>
    <row r="158" spans="1:85" s="263" customFormat="1" ht="15" x14ac:dyDescent="0.2">
      <c r="A158" s="84"/>
      <c r="B158" s="85"/>
      <c r="C158" s="84"/>
      <c r="D158" s="88"/>
      <c r="E158" s="88"/>
      <c r="F158" s="201"/>
      <c r="G158" s="88"/>
      <c r="H158" s="216"/>
      <c r="I158" s="220"/>
      <c r="J158" s="202"/>
      <c r="K158" s="88"/>
      <c r="L158" s="203"/>
      <c r="M158" s="203"/>
      <c r="N158" s="201"/>
      <c r="O158" s="202"/>
      <c r="P158" s="88"/>
      <c r="Q158" s="203"/>
      <c r="R158" s="203"/>
      <c r="S158" s="87"/>
      <c r="T158" s="87"/>
      <c r="U158" s="88"/>
      <c r="V158" s="203"/>
      <c r="W158" s="203"/>
      <c r="X158" s="201"/>
      <c r="Y158" s="201"/>
      <c r="Z158" s="87"/>
      <c r="AA158" s="224"/>
      <c r="AB158" s="201"/>
      <c r="AC158" s="335"/>
      <c r="AD158" s="224"/>
      <c r="AE158" s="88"/>
      <c r="AF158" s="88"/>
      <c r="AG158" s="86"/>
      <c r="AH158" s="86"/>
      <c r="AI158" s="89"/>
      <c r="AJ158" s="86"/>
      <c r="AK158" s="86"/>
      <c r="AL158" s="86"/>
      <c r="AM158" s="86"/>
      <c r="AN158" s="86"/>
      <c r="AO158" s="86"/>
      <c r="AP158" s="115"/>
      <c r="AQ158" s="116"/>
      <c r="AR158" s="116"/>
      <c r="AS158" s="136"/>
      <c r="AT158" s="116"/>
      <c r="AU158" s="86"/>
      <c r="AV158" s="86"/>
      <c r="AW158" s="86"/>
      <c r="AX158" s="86"/>
      <c r="AY158" s="86"/>
      <c r="AZ158" s="90"/>
      <c r="BA158" s="90"/>
      <c r="BB158" s="86"/>
      <c r="BC158" s="116"/>
      <c r="BD158" s="116"/>
      <c r="BE158" s="116"/>
      <c r="BF158" s="86"/>
      <c r="BG158" s="91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261"/>
      <c r="CG158" s="337"/>
    </row>
    <row r="159" spans="1:85" s="263" customFormat="1" ht="15" x14ac:dyDescent="0.2">
      <c r="A159" s="84"/>
      <c r="B159" s="85"/>
      <c r="C159" s="84"/>
      <c r="D159" s="88"/>
      <c r="E159" s="88"/>
      <c r="F159" s="201"/>
      <c r="G159" s="88"/>
      <c r="H159" s="216"/>
      <c r="I159" s="220"/>
      <c r="J159" s="202"/>
      <c r="K159" s="88"/>
      <c r="L159" s="203"/>
      <c r="M159" s="203"/>
      <c r="N159" s="201"/>
      <c r="O159" s="202"/>
      <c r="P159" s="88"/>
      <c r="Q159" s="203"/>
      <c r="R159" s="203"/>
      <c r="S159" s="87"/>
      <c r="T159" s="87"/>
      <c r="U159" s="88"/>
      <c r="V159" s="203"/>
      <c r="W159" s="203"/>
      <c r="X159" s="201"/>
      <c r="Y159" s="201"/>
      <c r="Z159" s="87"/>
      <c r="AA159" s="224"/>
      <c r="AB159" s="201"/>
      <c r="AC159" s="335"/>
      <c r="AD159" s="224"/>
      <c r="AE159" s="88"/>
      <c r="AF159" s="88"/>
      <c r="AG159" s="86"/>
      <c r="AH159" s="86"/>
      <c r="AI159" s="89"/>
      <c r="AJ159" s="86"/>
      <c r="AK159" s="86"/>
      <c r="AL159" s="86"/>
      <c r="AM159" s="86"/>
      <c r="AN159" s="86"/>
      <c r="AO159" s="86"/>
      <c r="AP159" s="115"/>
      <c r="AQ159" s="116"/>
      <c r="AR159" s="116"/>
      <c r="AS159" s="136"/>
      <c r="AT159" s="116"/>
      <c r="AU159" s="86"/>
      <c r="AV159" s="86"/>
      <c r="AW159" s="86"/>
      <c r="AX159" s="86"/>
      <c r="AY159" s="86"/>
      <c r="AZ159" s="90"/>
      <c r="BA159" s="90"/>
      <c r="BB159" s="86"/>
      <c r="BC159" s="116"/>
      <c r="BD159" s="116"/>
      <c r="BE159" s="116"/>
      <c r="BF159" s="86"/>
      <c r="BG159" s="91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261"/>
      <c r="CG159" s="337"/>
    </row>
    <row r="160" spans="1:85" s="263" customFormat="1" ht="15" x14ac:dyDescent="0.2">
      <c r="A160" s="84"/>
      <c r="B160" s="85"/>
      <c r="C160" s="84"/>
      <c r="D160" s="88"/>
      <c r="E160" s="88"/>
      <c r="F160" s="201"/>
      <c r="G160" s="88"/>
      <c r="H160" s="216"/>
      <c r="I160" s="220"/>
      <c r="J160" s="202"/>
      <c r="K160" s="88"/>
      <c r="L160" s="203"/>
      <c r="M160" s="203"/>
      <c r="N160" s="201"/>
      <c r="O160" s="202"/>
      <c r="P160" s="88"/>
      <c r="Q160" s="203"/>
      <c r="R160" s="203"/>
      <c r="S160" s="87"/>
      <c r="T160" s="87"/>
      <c r="U160" s="88"/>
      <c r="V160" s="203"/>
      <c r="W160" s="203"/>
      <c r="X160" s="201"/>
      <c r="Y160" s="201"/>
      <c r="Z160" s="87"/>
      <c r="AA160" s="224"/>
      <c r="AB160" s="201"/>
      <c r="AC160" s="335"/>
      <c r="AD160" s="224"/>
      <c r="AE160" s="88"/>
      <c r="AF160" s="88"/>
      <c r="AG160" s="86"/>
      <c r="AH160" s="86"/>
      <c r="AI160" s="89"/>
      <c r="AJ160" s="86"/>
      <c r="AK160" s="86"/>
      <c r="AL160" s="86"/>
      <c r="AM160" s="86"/>
      <c r="AN160" s="86"/>
      <c r="AO160" s="86"/>
      <c r="AP160" s="115"/>
      <c r="AQ160" s="116"/>
      <c r="AR160" s="116"/>
      <c r="AS160" s="136"/>
      <c r="AT160" s="116"/>
      <c r="AU160" s="86"/>
      <c r="AV160" s="86"/>
      <c r="AW160" s="86"/>
      <c r="AX160" s="86"/>
      <c r="AY160" s="86"/>
      <c r="AZ160" s="90"/>
      <c r="BA160" s="90"/>
      <c r="BB160" s="86"/>
      <c r="BC160" s="116"/>
      <c r="BD160" s="116"/>
      <c r="BE160" s="116"/>
      <c r="BF160" s="86"/>
      <c r="BG160" s="91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261"/>
      <c r="CG160" s="337"/>
    </row>
    <row r="161" spans="1:85" s="263" customFormat="1" ht="15.75" x14ac:dyDescent="0.2">
      <c r="A161" s="84"/>
      <c r="B161" s="85"/>
      <c r="C161" s="84"/>
      <c r="D161" s="88"/>
      <c r="E161" s="88"/>
      <c r="F161" s="201"/>
      <c r="G161" s="88"/>
      <c r="H161" s="216"/>
      <c r="I161" s="220"/>
      <c r="J161" s="202"/>
      <c r="K161" s="88"/>
      <c r="L161" s="342"/>
      <c r="M161" s="203"/>
      <c r="N161" s="201"/>
      <c r="O161" s="202"/>
      <c r="P161" s="88"/>
      <c r="Q161" s="203"/>
      <c r="R161" s="203"/>
      <c r="S161" s="87"/>
      <c r="T161" s="87"/>
      <c r="U161" s="88"/>
      <c r="V161" s="203"/>
      <c r="W161" s="203"/>
      <c r="X161" s="201"/>
      <c r="Y161" s="201"/>
      <c r="Z161" s="87"/>
      <c r="AA161" s="224"/>
      <c r="AB161" s="201"/>
      <c r="AC161" s="335"/>
      <c r="AD161" s="224"/>
      <c r="AE161" s="88"/>
      <c r="AF161" s="88"/>
      <c r="AG161" s="86"/>
      <c r="AH161" s="86"/>
      <c r="AI161" s="89"/>
      <c r="AJ161" s="86"/>
      <c r="AK161" s="86"/>
      <c r="AL161" s="86"/>
      <c r="AM161" s="86"/>
      <c r="AN161" s="86"/>
      <c r="AO161" s="86"/>
      <c r="AP161" s="115"/>
      <c r="AQ161" s="116"/>
      <c r="AR161" s="116"/>
      <c r="AS161" s="136"/>
      <c r="AT161" s="116"/>
      <c r="AU161" s="86"/>
      <c r="AV161" s="86"/>
      <c r="AW161" s="86"/>
      <c r="AX161" s="86"/>
      <c r="AY161" s="86"/>
      <c r="AZ161" s="90"/>
      <c r="BA161" s="90"/>
      <c r="BB161" s="86"/>
      <c r="BC161" s="116"/>
      <c r="BD161" s="116"/>
      <c r="BE161" s="116"/>
      <c r="BF161" s="86"/>
      <c r="BG161" s="91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261"/>
      <c r="CG161" s="337"/>
    </row>
    <row r="162" spans="1:85" s="263" customFormat="1" ht="15.75" x14ac:dyDescent="0.2">
      <c r="A162" s="84"/>
      <c r="B162" s="85"/>
      <c r="C162" s="84"/>
      <c r="D162" s="88"/>
      <c r="E162" s="88"/>
      <c r="F162" s="201"/>
      <c r="G162" s="88"/>
      <c r="H162" s="216"/>
      <c r="I162" s="220"/>
      <c r="J162" s="202"/>
      <c r="K162" s="88"/>
      <c r="L162" s="342"/>
      <c r="M162" s="203"/>
      <c r="N162" s="201"/>
      <c r="O162" s="202"/>
      <c r="P162" s="88"/>
      <c r="Q162" s="203"/>
      <c r="R162" s="203"/>
      <c r="S162" s="87"/>
      <c r="T162" s="87"/>
      <c r="U162" s="88"/>
      <c r="V162" s="203"/>
      <c r="W162" s="203"/>
      <c r="X162" s="201"/>
      <c r="Y162" s="201"/>
      <c r="Z162" s="87"/>
      <c r="AA162" s="224"/>
      <c r="AB162" s="201"/>
      <c r="AC162" s="335"/>
      <c r="AD162" s="224"/>
      <c r="AE162" s="88"/>
      <c r="AF162" s="88"/>
      <c r="AG162" s="86"/>
      <c r="AH162" s="86"/>
      <c r="AI162" s="89"/>
      <c r="AJ162" s="86"/>
      <c r="AK162" s="86"/>
      <c r="AL162" s="86"/>
      <c r="AM162" s="86"/>
      <c r="AN162" s="86"/>
      <c r="AO162" s="86"/>
      <c r="AP162" s="115"/>
      <c r="AQ162" s="116"/>
      <c r="AR162" s="116"/>
      <c r="AS162" s="136"/>
      <c r="AT162" s="116"/>
      <c r="AU162" s="86"/>
      <c r="AV162" s="86"/>
      <c r="AW162" s="86"/>
      <c r="AX162" s="86"/>
      <c r="AY162" s="86"/>
      <c r="AZ162" s="90"/>
      <c r="BA162" s="90"/>
      <c r="BB162" s="86"/>
      <c r="BC162" s="116"/>
      <c r="BD162" s="116"/>
      <c r="BE162" s="116"/>
      <c r="BF162" s="86"/>
      <c r="BG162" s="91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261"/>
      <c r="CG162" s="337"/>
    </row>
    <row r="163" spans="1:85" s="263" customFormat="1" ht="15.75" x14ac:dyDescent="0.2">
      <c r="A163" s="84"/>
      <c r="B163" s="85"/>
      <c r="C163" s="84"/>
      <c r="D163" s="88"/>
      <c r="E163" s="88"/>
      <c r="F163" s="201"/>
      <c r="G163" s="88"/>
      <c r="H163" s="216"/>
      <c r="I163" s="220"/>
      <c r="J163" s="202"/>
      <c r="K163" s="88"/>
      <c r="L163" s="342"/>
      <c r="M163" s="203"/>
      <c r="N163" s="201"/>
      <c r="O163" s="202"/>
      <c r="P163" s="88"/>
      <c r="Q163" s="203"/>
      <c r="R163" s="203"/>
      <c r="S163" s="87"/>
      <c r="T163" s="87"/>
      <c r="U163" s="88"/>
      <c r="V163" s="203"/>
      <c r="W163" s="203"/>
      <c r="X163" s="201"/>
      <c r="Y163" s="201"/>
      <c r="Z163" s="87"/>
      <c r="AA163" s="224"/>
      <c r="AB163" s="201"/>
      <c r="AC163" s="335"/>
      <c r="AD163" s="224"/>
      <c r="AE163" s="88"/>
      <c r="AF163" s="88"/>
      <c r="AG163" s="86"/>
      <c r="AH163" s="86"/>
      <c r="AI163" s="89"/>
      <c r="AJ163" s="86"/>
      <c r="AK163" s="86"/>
      <c r="AL163" s="86"/>
      <c r="AM163" s="86"/>
      <c r="AN163" s="86"/>
      <c r="AO163" s="86"/>
      <c r="AP163" s="115"/>
      <c r="AQ163" s="116"/>
      <c r="AR163" s="116"/>
      <c r="AS163" s="136"/>
      <c r="AT163" s="116"/>
      <c r="AU163" s="86"/>
      <c r="AV163" s="86"/>
      <c r="AW163" s="86"/>
      <c r="AX163" s="86"/>
      <c r="AY163" s="86"/>
      <c r="AZ163" s="90"/>
      <c r="BA163" s="90"/>
      <c r="BB163" s="86"/>
      <c r="BC163" s="116"/>
      <c r="BD163" s="116"/>
      <c r="BE163" s="116"/>
      <c r="BF163" s="86"/>
      <c r="BG163" s="91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261"/>
      <c r="CG163" s="337"/>
    </row>
    <row r="164" spans="1:85" s="263" customFormat="1" ht="15.75" x14ac:dyDescent="0.2">
      <c r="A164" s="84"/>
      <c r="B164" s="85"/>
      <c r="C164" s="84"/>
      <c r="D164" s="88"/>
      <c r="E164" s="88"/>
      <c r="F164" s="201"/>
      <c r="G164" s="88"/>
      <c r="H164" s="216"/>
      <c r="I164" s="220"/>
      <c r="J164" s="202"/>
      <c r="K164" s="88"/>
      <c r="L164" s="343"/>
      <c r="M164" s="203"/>
      <c r="N164" s="201"/>
      <c r="O164" s="202"/>
      <c r="P164" s="88"/>
      <c r="Q164" s="203"/>
      <c r="R164" s="203"/>
      <c r="S164" s="87"/>
      <c r="T164" s="87"/>
      <c r="U164" s="88"/>
      <c r="V164" s="203"/>
      <c r="W164" s="203"/>
      <c r="X164" s="201"/>
      <c r="Y164" s="201"/>
      <c r="Z164" s="87"/>
      <c r="AA164" s="224"/>
      <c r="AB164" s="201"/>
      <c r="AC164" s="335"/>
      <c r="AD164" s="224"/>
      <c r="AE164" s="88"/>
      <c r="AF164" s="88"/>
      <c r="AG164" s="86"/>
      <c r="AH164" s="86"/>
      <c r="AI164" s="89"/>
      <c r="AJ164" s="86"/>
      <c r="AK164" s="86"/>
      <c r="AL164" s="86"/>
      <c r="AM164" s="86"/>
      <c r="AN164" s="86"/>
      <c r="AO164" s="86"/>
      <c r="AP164" s="115"/>
      <c r="AQ164" s="116"/>
      <c r="AR164" s="116"/>
      <c r="AS164" s="136"/>
      <c r="AT164" s="116"/>
      <c r="AU164" s="86"/>
      <c r="AV164" s="86"/>
      <c r="AW164" s="86"/>
      <c r="AX164" s="86"/>
      <c r="AY164" s="86"/>
      <c r="AZ164" s="90"/>
      <c r="BA164" s="90"/>
      <c r="BB164" s="86"/>
      <c r="BC164" s="116"/>
      <c r="BD164" s="116"/>
      <c r="BE164" s="116"/>
      <c r="BF164" s="86"/>
      <c r="BG164" s="91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261"/>
      <c r="CG164" s="337"/>
    </row>
    <row r="165" spans="1:85" s="263" customFormat="1" ht="15.75" x14ac:dyDescent="0.2">
      <c r="A165" s="84"/>
      <c r="B165" s="85"/>
      <c r="C165" s="84"/>
      <c r="D165" s="88"/>
      <c r="E165" s="88"/>
      <c r="F165" s="201"/>
      <c r="G165" s="88"/>
      <c r="H165" s="216"/>
      <c r="I165" s="220"/>
      <c r="J165" s="202"/>
      <c r="K165" s="88"/>
      <c r="L165" s="342"/>
      <c r="M165" s="203"/>
      <c r="N165" s="201"/>
      <c r="O165" s="202"/>
      <c r="P165" s="88"/>
      <c r="Q165" s="203"/>
      <c r="R165" s="203"/>
      <c r="S165" s="87"/>
      <c r="T165" s="87"/>
      <c r="U165" s="88"/>
      <c r="V165" s="203"/>
      <c r="W165" s="203"/>
      <c r="X165" s="201"/>
      <c r="Y165" s="201"/>
      <c r="Z165" s="87"/>
      <c r="AA165" s="224"/>
      <c r="AB165" s="201"/>
      <c r="AC165" s="335"/>
      <c r="AD165" s="224"/>
      <c r="AE165" s="88"/>
      <c r="AF165" s="88"/>
      <c r="AG165" s="86"/>
      <c r="AH165" s="86"/>
      <c r="AI165" s="89"/>
      <c r="AJ165" s="86"/>
      <c r="AK165" s="86"/>
      <c r="AL165" s="86"/>
      <c r="AM165" s="86"/>
      <c r="AN165" s="86"/>
      <c r="AO165" s="86"/>
      <c r="AP165" s="115"/>
      <c r="AQ165" s="116"/>
      <c r="AR165" s="116"/>
      <c r="AS165" s="136"/>
      <c r="AT165" s="116"/>
      <c r="AU165" s="86"/>
      <c r="AV165" s="86"/>
      <c r="AW165" s="86"/>
      <c r="AX165" s="86"/>
      <c r="AY165" s="86"/>
      <c r="AZ165" s="90"/>
      <c r="BA165" s="90"/>
      <c r="BB165" s="86"/>
      <c r="BC165" s="116"/>
      <c r="BD165" s="116"/>
      <c r="BE165" s="116"/>
      <c r="BF165" s="86"/>
      <c r="BG165" s="91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261"/>
      <c r="CG165" s="337"/>
    </row>
    <row r="166" spans="1:85" s="263" customFormat="1" ht="15" x14ac:dyDescent="0.2">
      <c r="A166" s="84"/>
      <c r="B166" s="85"/>
      <c r="C166" s="84"/>
      <c r="D166" s="88"/>
      <c r="E166" s="88"/>
      <c r="F166" s="201"/>
      <c r="G166" s="88"/>
      <c r="H166" s="216"/>
      <c r="I166" s="220"/>
      <c r="J166" s="202"/>
      <c r="K166" s="88"/>
      <c r="L166" s="203"/>
      <c r="M166" s="203"/>
      <c r="N166" s="201"/>
      <c r="O166" s="202"/>
      <c r="P166" s="88"/>
      <c r="Q166" s="203"/>
      <c r="R166" s="203"/>
      <c r="S166" s="87"/>
      <c r="T166" s="87"/>
      <c r="U166" s="88"/>
      <c r="V166" s="203"/>
      <c r="W166" s="203"/>
      <c r="X166" s="201"/>
      <c r="Y166" s="201"/>
      <c r="Z166" s="87"/>
      <c r="AA166" s="224"/>
      <c r="AB166" s="201"/>
      <c r="AC166" s="335"/>
      <c r="AD166" s="224"/>
      <c r="AE166" s="88"/>
      <c r="AF166" s="88"/>
      <c r="AG166" s="86"/>
      <c r="AH166" s="86"/>
      <c r="AI166" s="89"/>
      <c r="AJ166" s="86"/>
      <c r="AK166" s="86"/>
      <c r="AL166" s="86"/>
      <c r="AM166" s="86"/>
      <c r="AN166" s="86"/>
      <c r="AO166" s="86"/>
      <c r="AP166" s="115"/>
      <c r="AQ166" s="116"/>
      <c r="AR166" s="116"/>
      <c r="AS166" s="136"/>
      <c r="AT166" s="116"/>
      <c r="AU166" s="86"/>
      <c r="AV166" s="86"/>
      <c r="AW166" s="86"/>
      <c r="AX166" s="86"/>
      <c r="AY166" s="86"/>
      <c r="AZ166" s="90"/>
      <c r="BA166" s="90"/>
      <c r="BB166" s="86"/>
      <c r="BC166" s="116"/>
      <c r="BD166" s="116"/>
      <c r="BE166" s="116"/>
      <c r="BF166" s="86"/>
      <c r="BG166" s="91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261"/>
      <c r="CG166" s="337"/>
    </row>
    <row r="167" spans="1:85" s="263" customFormat="1" ht="15" x14ac:dyDescent="0.2">
      <c r="A167" s="84"/>
      <c r="B167" s="85"/>
      <c r="C167" s="84"/>
      <c r="D167" s="88"/>
      <c r="E167" s="88"/>
      <c r="F167" s="201"/>
      <c r="G167" s="88"/>
      <c r="H167" s="216"/>
      <c r="I167" s="220"/>
      <c r="J167" s="202"/>
      <c r="K167" s="88"/>
      <c r="L167" s="203"/>
      <c r="M167" s="203"/>
      <c r="N167" s="201"/>
      <c r="O167" s="202"/>
      <c r="P167" s="88"/>
      <c r="Q167" s="203"/>
      <c r="R167" s="203"/>
      <c r="S167" s="87"/>
      <c r="T167" s="87"/>
      <c r="U167" s="88"/>
      <c r="V167" s="203"/>
      <c r="W167" s="203"/>
      <c r="X167" s="201"/>
      <c r="Y167" s="201"/>
      <c r="Z167" s="87"/>
      <c r="AA167" s="224"/>
      <c r="AB167" s="201"/>
      <c r="AC167" s="335"/>
      <c r="AD167" s="224"/>
      <c r="AE167" s="88"/>
      <c r="AF167" s="88"/>
      <c r="AG167" s="86"/>
      <c r="AH167" s="86"/>
      <c r="AI167" s="89"/>
      <c r="AJ167" s="86"/>
      <c r="AK167" s="86"/>
      <c r="AL167" s="86"/>
      <c r="AM167" s="86"/>
      <c r="AN167" s="86"/>
      <c r="AO167" s="86"/>
      <c r="AP167" s="115"/>
      <c r="AQ167" s="116"/>
      <c r="AR167" s="116"/>
      <c r="AS167" s="136"/>
      <c r="AT167" s="116"/>
      <c r="AU167" s="86"/>
      <c r="AV167" s="86"/>
      <c r="AW167" s="86"/>
      <c r="AX167" s="86"/>
      <c r="AY167" s="86"/>
      <c r="AZ167" s="90"/>
      <c r="BA167" s="90"/>
      <c r="BB167" s="86"/>
      <c r="BC167" s="116"/>
      <c r="BD167" s="116"/>
      <c r="BE167" s="116"/>
      <c r="BF167" s="86"/>
      <c r="BG167" s="91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261"/>
      <c r="CG167" s="337"/>
    </row>
    <row r="168" spans="1:85" s="263" customFormat="1" ht="15" x14ac:dyDescent="0.2">
      <c r="A168" s="84"/>
      <c r="B168" s="85"/>
      <c r="C168" s="84"/>
      <c r="D168" s="88"/>
      <c r="E168" s="88"/>
      <c r="F168" s="201"/>
      <c r="G168" s="88"/>
      <c r="H168" s="216"/>
      <c r="I168" s="220"/>
      <c r="J168" s="202"/>
      <c r="K168" s="88"/>
      <c r="L168" s="203"/>
      <c r="M168" s="203"/>
      <c r="N168" s="201"/>
      <c r="O168" s="202"/>
      <c r="P168" s="88"/>
      <c r="Q168" s="203"/>
      <c r="R168" s="203"/>
      <c r="S168" s="87"/>
      <c r="T168" s="87"/>
      <c r="U168" s="88"/>
      <c r="V168" s="203"/>
      <c r="W168" s="203"/>
      <c r="X168" s="201"/>
      <c r="Y168" s="201"/>
      <c r="Z168" s="87"/>
      <c r="AA168" s="224"/>
      <c r="AB168" s="201"/>
      <c r="AC168" s="335"/>
      <c r="AD168" s="224"/>
      <c r="AE168" s="88"/>
      <c r="AF168" s="88"/>
      <c r="AG168" s="86"/>
      <c r="AH168" s="86"/>
      <c r="AI168" s="89"/>
      <c r="AJ168" s="86"/>
      <c r="AK168" s="86"/>
      <c r="AL168" s="86"/>
      <c r="AM168" s="86"/>
      <c r="AN168" s="86"/>
      <c r="AO168" s="86"/>
      <c r="AP168" s="115"/>
      <c r="AQ168" s="116"/>
      <c r="AR168" s="116"/>
      <c r="AS168" s="136"/>
      <c r="AT168" s="116"/>
      <c r="AU168" s="86"/>
      <c r="AV168" s="86"/>
      <c r="AW168" s="86"/>
      <c r="AX168" s="86"/>
      <c r="AY168" s="86"/>
      <c r="AZ168" s="90"/>
      <c r="BA168" s="90"/>
      <c r="BB168" s="86"/>
      <c r="BC168" s="116"/>
      <c r="BD168" s="116"/>
      <c r="BE168" s="116"/>
      <c r="BF168" s="86"/>
      <c r="BG168" s="91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261"/>
      <c r="CG168" s="337"/>
    </row>
    <row r="169" spans="1:85" s="263" customFormat="1" ht="15" x14ac:dyDescent="0.2">
      <c r="A169" s="84"/>
      <c r="B169" s="85"/>
      <c r="C169" s="84"/>
      <c r="D169" s="88"/>
      <c r="E169" s="88"/>
      <c r="F169" s="201"/>
      <c r="G169" s="88"/>
      <c r="H169" s="216"/>
      <c r="I169" s="220"/>
      <c r="J169" s="202"/>
      <c r="K169" s="88"/>
      <c r="L169" s="203"/>
      <c r="M169" s="203"/>
      <c r="N169" s="201"/>
      <c r="O169" s="202"/>
      <c r="P169" s="88"/>
      <c r="Q169" s="203"/>
      <c r="R169" s="203"/>
      <c r="S169" s="87"/>
      <c r="T169" s="87"/>
      <c r="U169" s="88"/>
      <c r="V169" s="203"/>
      <c r="W169" s="203"/>
      <c r="X169" s="201"/>
      <c r="Y169" s="201"/>
      <c r="Z169" s="87"/>
      <c r="AA169" s="224"/>
      <c r="AB169" s="201"/>
      <c r="AC169" s="335"/>
      <c r="AD169" s="224"/>
      <c r="AE169" s="88"/>
      <c r="AF169" s="88"/>
      <c r="AG169" s="86"/>
      <c r="AH169" s="86"/>
      <c r="AI169" s="89"/>
      <c r="AJ169" s="86"/>
      <c r="AK169" s="86"/>
      <c r="AL169" s="86"/>
      <c r="AM169" s="86"/>
      <c r="AN169" s="86"/>
      <c r="AO169" s="86"/>
      <c r="AP169" s="115"/>
      <c r="AQ169" s="116"/>
      <c r="AR169" s="116"/>
      <c r="AS169" s="136"/>
      <c r="AT169" s="116"/>
      <c r="AU169" s="86"/>
      <c r="AV169" s="86"/>
      <c r="AW169" s="86"/>
      <c r="AX169" s="86"/>
      <c r="AY169" s="86"/>
      <c r="AZ169" s="90"/>
      <c r="BA169" s="90"/>
      <c r="BB169" s="86"/>
      <c r="BC169" s="116"/>
      <c r="BD169" s="116"/>
      <c r="BE169" s="116"/>
      <c r="BF169" s="86"/>
      <c r="BG169" s="91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261"/>
      <c r="CG169" s="337"/>
    </row>
    <row r="170" spans="1:85" s="263" customFormat="1" ht="15" x14ac:dyDescent="0.2">
      <c r="A170" s="84"/>
      <c r="B170" s="85"/>
      <c r="C170" s="84"/>
      <c r="D170" s="88"/>
      <c r="E170" s="88"/>
      <c r="F170" s="201"/>
      <c r="G170" s="88"/>
      <c r="H170" s="216"/>
      <c r="I170" s="220"/>
      <c r="J170" s="202"/>
      <c r="K170" s="88"/>
      <c r="L170" s="203"/>
      <c r="M170" s="203"/>
      <c r="N170" s="201"/>
      <c r="O170" s="202"/>
      <c r="P170" s="88"/>
      <c r="Q170" s="203"/>
      <c r="R170" s="203"/>
      <c r="S170" s="87"/>
      <c r="T170" s="87"/>
      <c r="U170" s="88"/>
      <c r="V170" s="203"/>
      <c r="W170" s="203"/>
      <c r="X170" s="201"/>
      <c r="Y170" s="201"/>
      <c r="Z170" s="87"/>
      <c r="AA170" s="224"/>
      <c r="AB170" s="201"/>
      <c r="AC170" s="335"/>
      <c r="AD170" s="224"/>
      <c r="AE170" s="88"/>
      <c r="AF170" s="88"/>
      <c r="AG170" s="86"/>
      <c r="AH170" s="86"/>
      <c r="AI170" s="89"/>
      <c r="AJ170" s="86"/>
      <c r="AK170" s="86"/>
      <c r="AL170" s="86"/>
      <c r="AM170" s="86"/>
      <c r="AN170" s="86"/>
      <c r="AO170" s="86"/>
      <c r="AP170" s="115"/>
      <c r="AQ170" s="116"/>
      <c r="AR170" s="116"/>
      <c r="AS170" s="136"/>
      <c r="AT170" s="116"/>
      <c r="AU170" s="86"/>
      <c r="AV170" s="86"/>
      <c r="AW170" s="86"/>
      <c r="AX170" s="86"/>
      <c r="AY170" s="86"/>
      <c r="AZ170" s="90"/>
      <c r="BA170" s="90"/>
      <c r="BB170" s="86"/>
      <c r="BC170" s="116"/>
      <c r="BD170" s="116"/>
      <c r="BE170" s="116"/>
      <c r="BF170" s="86"/>
      <c r="BG170" s="91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261"/>
      <c r="CG170" s="337"/>
    </row>
    <row r="171" spans="1:85" s="263" customFormat="1" ht="15" x14ac:dyDescent="0.2">
      <c r="A171" s="84"/>
      <c r="B171" s="85"/>
      <c r="C171" s="84"/>
      <c r="D171" s="88"/>
      <c r="E171" s="88"/>
      <c r="F171" s="201"/>
      <c r="G171" s="88"/>
      <c r="H171" s="216"/>
      <c r="I171" s="220"/>
      <c r="J171" s="202"/>
      <c r="K171" s="88"/>
      <c r="L171" s="203"/>
      <c r="M171" s="203"/>
      <c r="N171" s="201"/>
      <c r="O171" s="202"/>
      <c r="P171" s="88"/>
      <c r="Q171" s="203"/>
      <c r="R171" s="203"/>
      <c r="S171" s="87"/>
      <c r="T171" s="87"/>
      <c r="U171" s="88"/>
      <c r="V171" s="203"/>
      <c r="W171" s="203"/>
      <c r="X171" s="201"/>
      <c r="Y171" s="201"/>
      <c r="Z171" s="87"/>
      <c r="AA171" s="224"/>
      <c r="AB171" s="201"/>
      <c r="AC171" s="335"/>
      <c r="AD171" s="224"/>
      <c r="AE171" s="88"/>
      <c r="AF171" s="88"/>
      <c r="AG171" s="86"/>
      <c r="AH171" s="86"/>
      <c r="AI171" s="89"/>
      <c r="AJ171" s="86"/>
      <c r="AK171" s="86"/>
      <c r="AL171" s="86"/>
      <c r="AM171" s="86"/>
      <c r="AN171" s="86"/>
      <c r="AO171" s="86"/>
      <c r="AP171" s="115"/>
      <c r="AQ171" s="116"/>
      <c r="AR171" s="116"/>
      <c r="AS171" s="136"/>
      <c r="AT171" s="116"/>
      <c r="AU171" s="86"/>
      <c r="AV171" s="86"/>
      <c r="AW171" s="86"/>
      <c r="AX171" s="86"/>
      <c r="AY171" s="86"/>
      <c r="AZ171" s="90"/>
      <c r="BA171" s="90"/>
      <c r="BB171" s="86"/>
      <c r="BC171" s="116"/>
      <c r="BD171" s="116"/>
      <c r="BE171" s="116"/>
      <c r="BF171" s="86"/>
      <c r="BG171" s="91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261"/>
      <c r="CG171" s="337"/>
    </row>
    <row r="172" spans="1:85" s="263" customFormat="1" ht="15" x14ac:dyDescent="0.2">
      <c r="A172" s="84"/>
      <c r="B172" s="85"/>
      <c r="C172" s="84"/>
      <c r="D172" s="88"/>
      <c r="E172" s="88"/>
      <c r="F172" s="201"/>
      <c r="G172" s="88"/>
      <c r="H172" s="216"/>
      <c r="I172" s="220"/>
      <c r="J172" s="202"/>
      <c r="K172" s="88"/>
      <c r="L172" s="203"/>
      <c r="M172" s="203"/>
      <c r="N172" s="201"/>
      <c r="O172" s="202"/>
      <c r="P172" s="88"/>
      <c r="Q172" s="203"/>
      <c r="R172" s="203"/>
      <c r="S172" s="87"/>
      <c r="T172" s="87"/>
      <c r="U172" s="88"/>
      <c r="V172" s="203"/>
      <c r="W172" s="203"/>
      <c r="X172" s="201"/>
      <c r="Y172" s="201"/>
      <c r="Z172" s="87"/>
      <c r="AA172" s="224"/>
      <c r="AB172" s="201"/>
      <c r="AC172" s="335"/>
      <c r="AD172" s="224"/>
      <c r="AE172" s="88"/>
      <c r="AF172" s="88"/>
      <c r="AG172" s="86"/>
      <c r="AH172" s="86"/>
      <c r="AI172" s="89"/>
      <c r="AJ172" s="86"/>
      <c r="AK172" s="86"/>
      <c r="AL172" s="86"/>
      <c r="AM172" s="86"/>
      <c r="AN172" s="86"/>
      <c r="AO172" s="86"/>
      <c r="AP172" s="115"/>
      <c r="AQ172" s="116"/>
      <c r="AR172" s="116"/>
      <c r="AS172" s="136"/>
      <c r="AT172" s="116"/>
      <c r="AU172" s="86"/>
      <c r="AV172" s="86"/>
      <c r="AW172" s="86"/>
      <c r="AX172" s="86"/>
      <c r="AY172" s="86"/>
      <c r="AZ172" s="90"/>
      <c r="BA172" s="90"/>
      <c r="BB172" s="86"/>
      <c r="BC172" s="116"/>
      <c r="BD172" s="116"/>
      <c r="BE172" s="116"/>
      <c r="BF172" s="86"/>
      <c r="BG172" s="91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261"/>
      <c r="CG172" s="337"/>
    </row>
    <row r="173" spans="1:85" s="263" customFormat="1" ht="15.75" x14ac:dyDescent="0.2">
      <c r="A173" s="84"/>
      <c r="B173" s="85"/>
      <c r="C173" s="84"/>
      <c r="D173" s="88"/>
      <c r="E173" s="88"/>
      <c r="F173" s="201"/>
      <c r="G173" s="88"/>
      <c r="H173" s="216"/>
      <c r="I173" s="220"/>
      <c r="J173" s="202"/>
      <c r="K173" s="341"/>
      <c r="L173" s="203"/>
      <c r="M173" s="203"/>
      <c r="N173" s="201"/>
      <c r="O173" s="202"/>
      <c r="P173" s="88"/>
      <c r="Q173" s="203"/>
      <c r="R173" s="203"/>
      <c r="S173" s="87"/>
      <c r="T173" s="87"/>
      <c r="U173" s="88"/>
      <c r="V173" s="203"/>
      <c r="W173" s="203"/>
      <c r="X173" s="201"/>
      <c r="Y173" s="201"/>
      <c r="Z173" s="87"/>
      <c r="AA173" s="224"/>
      <c r="AB173" s="201"/>
      <c r="AC173" s="335"/>
      <c r="AD173" s="224"/>
      <c r="AE173" s="88"/>
      <c r="AF173" s="88"/>
      <c r="AG173" s="86"/>
      <c r="AH173" s="86"/>
      <c r="AI173" s="89"/>
      <c r="AJ173" s="86"/>
      <c r="AK173" s="86"/>
      <c r="AL173" s="86"/>
      <c r="AM173" s="86"/>
      <c r="AN173" s="86"/>
      <c r="AO173" s="86"/>
      <c r="AP173" s="115"/>
      <c r="AQ173" s="116"/>
      <c r="AR173" s="116"/>
      <c r="AS173" s="136"/>
      <c r="AT173" s="116"/>
      <c r="AU173" s="86"/>
      <c r="AV173" s="86"/>
      <c r="AW173" s="86"/>
      <c r="AX173" s="86"/>
      <c r="AY173" s="86"/>
      <c r="AZ173" s="90"/>
      <c r="BA173" s="90"/>
      <c r="BB173" s="86"/>
      <c r="BC173" s="116"/>
      <c r="BD173" s="116"/>
      <c r="BE173" s="116"/>
      <c r="BF173" s="86"/>
      <c r="BG173" s="91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261"/>
      <c r="CG173" s="337"/>
    </row>
    <row r="174" spans="1:85" s="263" customFormat="1" ht="15.75" x14ac:dyDescent="0.2">
      <c r="A174" s="84"/>
      <c r="B174" s="85"/>
      <c r="C174" s="84"/>
      <c r="D174" s="88"/>
      <c r="E174" s="88"/>
      <c r="F174" s="201"/>
      <c r="G174" s="88"/>
      <c r="H174" s="216"/>
      <c r="I174" s="220"/>
      <c r="J174" s="202"/>
      <c r="K174" s="341"/>
      <c r="L174" s="203"/>
      <c r="M174" s="203"/>
      <c r="N174" s="201"/>
      <c r="O174" s="202"/>
      <c r="P174" s="88"/>
      <c r="Q174" s="203"/>
      <c r="R174" s="203"/>
      <c r="S174" s="87"/>
      <c r="T174" s="87"/>
      <c r="U174" s="88"/>
      <c r="V174" s="203"/>
      <c r="W174" s="203"/>
      <c r="X174" s="201"/>
      <c r="Y174" s="201"/>
      <c r="Z174" s="87"/>
      <c r="AA174" s="224"/>
      <c r="AB174" s="201"/>
      <c r="AC174" s="335"/>
      <c r="AD174" s="224"/>
      <c r="AE174" s="88"/>
      <c r="AF174" s="88"/>
      <c r="AG174" s="86"/>
      <c r="AH174" s="86"/>
      <c r="AI174" s="89"/>
      <c r="AJ174" s="86"/>
      <c r="AK174" s="86"/>
      <c r="AL174" s="86"/>
      <c r="AM174" s="86"/>
      <c r="AN174" s="86"/>
      <c r="AO174" s="86"/>
      <c r="AP174" s="115"/>
      <c r="AQ174" s="116"/>
      <c r="AR174" s="116"/>
      <c r="AS174" s="136"/>
      <c r="AT174" s="116"/>
      <c r="AU174" s="86"/>
      <c r="AV174" s="86"/>
      <c r="AW174" s="86"/>
      <c r="AX174" s="86"/>
      <c r="AY174" s="86"/>
      <c r="AZ174" s="90"/>
      <c r="BA174" s="90"/>
      <c r="BB174" s="86"/>
      <c r="BC174" s="116"/>
      <c r="BD174" s="116"/>
      <c r="BE174" s="116"/>
      <c r="BF174" s="86"/>
      <c r="BG174" s="91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261"/>
      <c r="CG174" s="337"/>
    </row>
    <row r="175" spans="1:85" s="263" customFormat="1" ht="15.75" x14ac:dyDescent="0.2">
      <c r="A175" s="84"/>
      <c r="B175" s="85"/>
      <c r="C175" s="84"/>
      <c r="D175" s="88"/>
      <c r="E175" s="88"/>
      <c r="F175" s="201"/>
      <c r="G175" s="88"/>
      <c r="H175" s="216"/>
      <c r="I175" s="220"/>
      <c r="J175" s="202"/>
      <c r="K175" s="344"/>
      <c r="L175" s="203"/>
      <c r="M175" s="203"/>
      <c r="N175" s="201"/>
      <c r="O175" s="202"/>
      <c r="P175" s="88"/>
      <c r="Q175" s="203"/>
      <c r="R175" s="203"/>
      <c r="S175" s="87"/>
      <c r="T175" s="87"/>
      <c r="U175" s="88"/>
      <c r="V175" s="203"/>
      <c r="W175" s="203"/>
      <c r="X175" s="201"/>
      <c r="Y175" s="201"/>
      <c r="Z175" s="87"/>
      <c r="AA175" s="224"/>
      <c r="AB175" s="201"/>
      <c r="AC175" s="335"/>
      <c r="AD175" s="224"/>
      <c r="AE175" s="88"/>
      <c r="AF175" s="88"/>
      <c r="AG175" s="86"/>
      <c r="AH175" s="86"/>
      <c r="AI175" s="89"/>
      <c r="AJ175" s="86"/>
      <c r="AK175" s="86"/>
      <c r="AL175" s="86"/>
      <c r="AM175" s="86"/>
      <c r="AN175" s="86"/>
      <c r="AO175" s="86"/>
      <c r="AP175" s="115"/>
      <c r="AQ175" s="116"/>
      <c r="AR175" s="116"/>
      <c r="AS175" s="136"/>
      <c r="AT175" s="116"/>
      <c r="AU175" s="86"/>
      <c r="AV175" s="86"/>
      <c r="AW175" s="86"/>
      <c r="AX175" s="86"/>
      <c r="AY175" s="86"/>
      <c r="AZ175" s="90"/>
      <c r="BA175" s="90"/>
      <c r="BB175" s="86"/>
      <c r="BC175" s="116"/>
      <c r="BD175" s="116"/>
      <c r="BE175" s="116"/>
      <c r="BF175" s="86"/>
      <c r="BG175" s="91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261"/>
      <c r="CG175" s="337"/>
    </row>
    <row r="176" spans="1:85" s="263" customFormat="1" ht="15" x14ac:dyDescent="0.2">
      <c r="A176" s="84"/>
      <c r="B176" s="85"/>
      <c r="C176" s="84"/>
      <c r="D176" s="88"/>
      <c r="E176" s="88"/>
      <c r="F176" s="201"/>
      <c r="G176" s="88"/>
      <c r="H176" s="216"/>
      <c r="I176" s="220"/>
      <c r="J176" s="202"/>
      <c r="K176" s="88"/>
      <c r="L176" s="203"/>
      <c r="M176" s="203"/>
      <c r="N176" s="201"/>
      <c r="O176" s="202"/>
      <c r="P176" s="88"/>
      <c r="Q176" s="203"/>
      <c r="R176" s="203"/>
      <c r="S176" s="87"/>
      <c r="T176" s="87"/>
      <c r="U176" s="88"/>
      <c r="V176" s="203"/>
      <c r="W176" s="203"/>
      <c r="X176" s="201"/>
      <c r="Y176" s="201"/>
      <c r="Z176" s="87"/>
      <c r="AA176" s="224"/>
      <c r="AB176" s="201"/>
      <c r="AC176" s="335"/>
      <c r="AD176" s="224"/>
      <c r="AE176" s="88"/>
      <c r="AF176" s="88"/>
      <c r="AG176" s="86"/>
      <c r="AH176" s="86"/>
      <c r="AI176" s="89"/>
      <c r="AJ176" s="86"/>
      <c r="AK176" s="86"/>
      <c r="AL176" s="86"/>
      <c r="AM176" s="86"/>
      <c r="AN176" s="86"/>
      <c r="AO176" s="86"/>
      <c r="AP176" s="115"/>
      <c r="AQ176" s="116"/>
      <c r="AR176" s="116"/>
      <c r="AS176" s="136"/>
      <c r="AT176" s="116"/>
      <c r="AU176" s="86"/>
      <c r="AV176" s="86"/>
      <c r="AW176" s="86"/>
      <c r="AX176" s="86"/>
      <c r="AY176" s="86"/>
      <c r="AZ176" s="90"/>
      <c r="BA176" s="90"/>
      <c r="BB176" s="86"/>
      <c r="BC176" s="116"/>
      <c r="BD176" s="116"/>
      <c r="BE176" s="116"/>
      <c r="BF176" s="86"/>
      <c r="BG176" s="91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261"/>
      <c r="CG176" s="337"/>
    </row>
    <row r="177" spans="1:85" s="263" customFormat="1" ht="15" x14ac:dyDescent="0.2">
      <c r="A177" s="84"/>
      <c r="B177" s="85"/>
      <c r="C177" s="84"/>
      <c r="D177" s="88"/>
      <c r="E177" s="88"/>
      <c r="F177" s="201"/>
      <c r="G177" s="88"/>
      <c r="H177" s="216"/>
      <c r="I177" s="220"/>
      <c r="J177" s="202"/>
      <c r="K177" s="88"/>
      <c r="L177" s="203"/>
      <c r="M177" s="203"/>
      <c r="N177" s="201"/>
      <c r="O177" s="202"/>
      <c r="P177" s="88"/>
      <c r="Q177" s="203"/>
      <c r="R177" s="203"/>
      <c r="S177" s="87"/>
      <c r="T177" s="87"/>
      <c r="U177" s="88"/>
      <c r="V177" s="203"/>
      <c r="W177" s="203"/>
      <c r="X177" s="201"/>
      <c r="Y177" s="201"/>
      <c r="Z177" s="87"/>
      <c r="AA177" s="224"/>
      <c r="AB177" s="201"/>
      <c r="AC177" s="335"/>
      <c r="AD177" s="224"/>
      <c r="AE177" s="88"/>
      <c r="AF177" s="88"/>
      <c r="AG177" s="86"/>
      <c r="AH177" s="86"/>
      <c r="AI177" s="89"/>
      <c r="AJ177" s="86"/>
      <c r="AK177" s="86"/>
      <c r="AL177" s="86"/>
      <c r="AM177" s="86"/>
      <c r="AN177" s="86"/>
      <c r="AO177" s="86"/>
      <c r="AP177" s="115"/>
      <c r="AQ177" s="116"/>
      <c r="AR177" s="116"/>
      <c r="AS177" s="136"/>
      <c r="AT177" s="116"/>
      <c r="AU177" s="86"/>
      <c r="AV177" s="86"/>
      <c r="AW177" s="86"/>
      <c r="AX177" s="86"/>
      <c r="AY177" s="86"/>
      <c r="AZ177" s="90"/>
      <c r="BA177" s="90"/>
      <c r="BB177" s="86"/>
      <c r="BC177" s="116"/>
      <c r="BD177" s="116"/>
      <c r="BE177" s="116"/>
      <c r="BF177" s="86"/>
      <c r="BG177" s="91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261"/>
      <c r="CG177" s="337"/>
    </row>
    <row r="178" spans="1:85" s="263" customFormat="1" ht="15" x14ac:dyDescent="0.2">
      <c r="A178" s="84"/>
      <c r="B178" s="85"/>
      <c r="C178" s="84"/>
      <c r="D178" s="88"/>
      <c r="E178" s="88"/>
      <c r="F178" s="201"/>
      <c r="G178" s="88"/>
      <c r="H178" s="216"/>
      <c r="I178" s="220"/>
      <c r="J178" s="202"/>
      <c r="K178" s="88"/>
      <c r="L178" s="203"/>
      <c r="M178" s="203"/>
      <c r="N178" s="201"/>
      <c r="O178" s="202"/>
      <c r="P178" s="88"/>
      <c r="Q178" s="203"/>
      <c r="R178" s="203"/>
      <c r="S178" s="87"/>
      <c r="T178" s="87"/>
      <c r="U178" s="88"/>
      <c r="V178" s="203"/>
      <c r="W178" s="203"/>
      <c r="X178" s="201"/>
      <c r="Y178" s="201"/>
      <c r="Z178" s="87"/>
      <c r="AA178" s="224"/>
      <c r="AB178" s="201"/>
      <c r="AC178" s="335"/>
      <c r="AD178" s="224"/>
      <c r="AE178" s="88"/>
      <c r="AF178" s="88"/>
      <c r="AG178" s="86"/>
      <c r="AH178" s="86"/>
      <c r="AI178" s="89"/>
      <c r="AJ178" s="86"/>
      <c r="AK178" s="86"/>
      <c r="AL178" s="86"/>
      <c r="AM178" s="86"/>
      <c r="AN178" s="86"/>
      <c r="AO178" s="86"/>
      <c r="AP178" s="115"/>
      <c r="AQ178" s="116"/>
      <c r="AR178" s="116"/>
      <c r="AS178" s="136"/>
      <c r="AT178" s="116"/>
      <c r="AU178" s="86"/>
      <c r="AV178" s="86"/>
      <c r="AW178" s="86"/>
      <c r="AX178" s="86"/>
      <c r="AY178" s="86"/>
      <c r="AZ178" s="90"/>
      <c r="BA178" s="90"/>
      <c r="BB178" s="86"/>
      <c r="BC178" s="116"/>
      <c r="BD178" s="116"/>
      <c r="BE178" s="116"/>
      <c r="BF178" s="86"/>
      <c r="BG178" s="91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261"/>
      <c r="CG178" s="337"/>
    </row>
    <row r="179" spans="1:85" s="263" customFormat="1" ht="15" x14ac:dyDescent="0.2">
      <c r="A179" s="84"/>
      <c r="B179" s="85"/>
      <c r="C179" s="84"/>
      <c r="D179" s="88"/>
      <c r="E179" s="88"/>
      <c r="F179" s="201"/>
      <c r="G179" s="88"/>
      <c r="H179" s="216"/>
      <c r="I179" s="220"/>
      <c r="J179" s="202"/>
      <c r="K179" s="88"/>
      <c r="L179" s="203"/>
      <c r="M179" s="203"/>
      <c r="N179" s="201"/>
      <c r="O179" s="202"/>
      <c r="P179" s="88"/>
      <c r="Q179" s="203"/>
      <c r="R179" s="203"/>
      <c r="S179" s="87"/>
      <c r="T179" s="87"/>
      <c r="U179" s="88"/>
      <c r="V179" s="203"/>
      <c r="W179" s="203"/>
      <c r="X179" s="201"/>
      <c r="Y179" s="201"/>
      <c r="Z179" s="87"/>
      <c r="AA179" s="224"/>
      <c r="AB179" s="201"/>
      <c r="AC179" s="335"/>
      <c r="AD179" s="224"/>
      <c r="AE179" s="88"/>
      <c r="AF179" s="88"/>
      <c r="AG179" s="86"/>
      <c r="AH179" s="86"/>
      <c r="AI179" s="89"/>
      <c r="AJ179" s="86"/>
      <c r="AK179" s="86"/>
      <c r="AL179" s="86"/>
      <c r="AM179" s="86"/>
      <c r="AN179" s="86"/>
      <c r="AO179" s="86"/>
      <c r="AP179" s="115"/>
      <c r="AQ179" s="116"/>
      <c r="AR179" s="116"/>
      <c r="AS179" s="136"/>
      <c r="AT179" s="116"/>
      <c r="AU179" s="86"/>
      <c r="AV179" s="86"/>
      <c r="AW179" s="86"/>
      <c r="AX179" s="86"/>
      <c r="AY179" s="86"/>
      <c r="AZ179" s="90"/>
      <c r="BA179" s="90"/>
      <c r="BB179" s="86"/>
      <c r="BC179" s="116"/>
      <c r="BD179" s="116"/>
      <c r="BE179" s="116"/>
      <c r="BF179" s="86"/>
      <c r="BG179" s="91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261"/>
      <c r="CG179" s="337"/>
    </row>
    <row r="180" spans="1:85" s="263" customFormat="1" ht="15" x14ac:dyDescent="0.2">
      <c r="A180" s="84"/>
      <c r="B180" s="85"/>
      <c r="C180" s="84"/>
      <c r="D180" s="88"/>
      <c r="E180" s="88"/>
      <c r="F180" s="201"/>
      <c r="G180" s="88"/>
      <c r="H180" s="216"/>
      <c r="I180" s="220"/>
      <c r="J180" s="202"/>
      <c r="K180" s="88"/>
      <c r="L180" s="203"/>
      <c r="M180" s="203"/>
      <c r="N180" s="201"/>
      <c r="O180" s="202"/>
      <c r="P180" s="88"/>
      <c r="Q180" s="203"/>
      <c r="R180" s="203"/>
      <c r="S180" s="87"/>
      <c r="T180" s="87"/>
      <c r="U180" s="88"/>
      <c r="V180" s="203"/>
      <c r="W180" s="203"/>
      <c r="X180" s="201"/>
      <c r="Y180" s="201"/>
      <c r="Z180" s="87"/>
      <c r="AA180" s="224"/>
      <c r="AB180" s="201"/>
      <c r="AC180" s="335"/>
      <c r="AD180" s="224"/>
      <c r="AE180" s="88"/>
      <c r="AF180" s="88"/>
      <c r="AG180" s="86"/>
      <c r="AH180" s="86"/>
      <c r="AI180" s="89"/>
      <c r="AJ180" s="86"/>
      <c r="AK180" s="86"/>
      <c r="AL180" s="86"/>
      <c r="AM180" s="86"/>
      <c r="AN180" s="86"/>
      <c r="AO180" s="86"/>
      <c r="AP180" s="115"/>
      <c r="AQ180" s="116"/>
      <c r="AR180" s="116"/>
      <c r="AS180" s="136"/>
      <c r="AT180" s="116"/>
      <c r="AU180" s="86"/>
      <c r="AV180" s="86"/>
      <c r="AW180" s="86"/>
      <c r="AX180" s="86"/>
      <c r="AY180" s="86"/>
      <c r="AZ180" s="90"/>
      <c r="BA180" s="90"/>
      <c r="BB180" s="86"/>
      <c r="BC180" s="116"/>
      <c r="BD180" s="116"/>
      <c r="BE180" s="116"/>
      <c r="BF180" s="86"/>
      <c r="BG180" s="91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261"/>
      <c r="CG180" s="337"/>
    </row>
    <row r="181" spans="1:85" s="263" customFormat="1" ht="15" x14ac:dyDescent="0.2">
      <c r="A181" s="84"/>
      <c r="B181" s="85"/>
      <c r="C181" s="84"/>
      <c r="D181" s="88"/>
      <c r="E181" s="88"/>
      <c r="F181" s="201"/>
      <c r="G181" s="88"/>
      <c r="H181" s="216"/>
      <c r="I181" s="220"/>
      <c r="J181" s="202"/>
      <c r="K181" s="88"/>
      <c r="L181" s="203"/>
      <c r="M181" s="203"/>
      <c r="N181" s="201"/>
      <c r="O181" s="202"/>
      <c r="P181" s="88"/>
      <c r="Q181" s="203"/>
      <c r="R181" s="203"/>
      <c r="S181" s="87"/>
      <c r="T181" s="87"/>
      <c r="U181" s="88"/>
      <c r="V181" s="203"/>
      <c r="W181" s="203"/>
      <c r="X181" s="201"/>
      <c r="Y181" s="201"/>
      <c r="Z181" s="87"/>
      <c r="AA181" s="224"/>
      <c r="AB181" s="201"/>
      <c r="AC181" s="335"/>
      <c r="AD181" s="224"/>
      <c r="AE181" s="88"/>
      <c r="AF181" s="88"/>
      <c r="AG181" s="86"/>
      <c r="AH181" s="86"/>
      <c r="AI181" s="89"/>
      <c r="AJ181" s="86"/>
      <c r="AK181" s="86"/>
      <c r="AL181" s="86"/>
      <c r="AM181" s="86"/>
      <c r="AN181" s="86"/>
      <c r="AO181" s="86"/>
      <c r="AP181" s="115"/>
      <c r="AQ181" s="116"/>
      <c r="AR181" s="116"/>
      <c r="AS181" s="136"/>
      <c r="AT181" s="116"/>
      <c r="AU181" s="86"/>
      <c r="AV181" s="86"/>
      <c r="AW181" s="86"/>
      <c r="AX181" s="86"/>
      <c r="AY181" s="86"/>
      <c r="AZ181" s="90"/>
      <c r="BA181" s="90"/>
      <c r="BB181" s="86"/>
      <c r="BC181" s="116"/>
      <c r="BD181" s="116"/>
      <c r="BE181" s="116"/>
      <c r="BF181" s="86"/>
      <c r="BG181" s="91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261"/>
      <c r="CG181" s="337"/>
    </row>
    <row r="182" spans="1:85" s="263" customFormat="1" ht="15" x14ac:dyDescent="0.2">
      <c r="A182" s="84"/>
      <c r="B182" s="85"/>
      <c r="C182" s="84"/>
      <c r="D182" s="88"/>
      <c r="E182" s="88"/>
      <c r="F182" s="201"/>
      <c r="G182" s="88"/>
      <c r="H182" s="216"/>
      <c r="I182" s="220"/>
      <c r="J182" s="202"/>
      <c r="K182" s="88"/>
      <c r="L182" s="203"/>
      <c r="M182" s="203"/>
      <c r="N182" s="201"/>
      <c r="O182" s="202"/>
      <c r="P182" s="88"/>
      <c r="Q182" s="203"/>
      <c r="R182" s="203"/>
      <c r="S182" s="87"/>
      <c r="T182" s="87"/>
      <c r="U182" s="88"/>
      <c r="V182" s="203"/>
      <c r="W182" s="203"/>
      <c r="X182" s="201"/>
      <c r="Y182" s="201"/>
      <c r="Z182" s="87"/>
      <c r="AA182" s="224"/>
      <c r="AB182" s="201"/>
      <c r="AC182" s="335"/>
      <c r="AD182" s="224"/>
      <c r="AE182" s="88"/>
      <c r="AF182" s="88"/>
      <c r="AG182" s="86"/>
      <c r="AH182" s="86"/>
      <c r="AI182" s="89"/>
      <c r="AJ182" s="86"/>
      <c r="AK182" s="86"/>
      <c r="AL182" s="86"/>
      <c r="AM182" s="86"/>
      <c r="AN182" s="86"/>
      <c r="AO182" s="86"/>
      <c r="AP182" s="115"/>
      <c r="AQ182" s="116"/>
      <c r="AR182" s="116"/>
      <c r="AS182" s="136"/>
      <c r="AT182" s="116"/>
      <c r="AU182" s="86"/>
      <c r="AV182" s="86"/>
      <c r="AW182" s="86"/>
      <c r="AX182" s="86"/>
      <c r="AY182" s="86"/>
      <c r="AZ182" s="90"/>
      <c r="BA182" s="90"/>
      <c r="BB182" s="86"/>
      <c r="BC182" s="116"/>
      <c r="BD182" s="116"/>
      <c r="BE182" s="116"/>
      <c r="BF182" s="86"/>
      <c r="BG182" s="91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261"/>
      <c r="CG182" s="337"/>
    </row>
    <row r="183" spans="1:85" s="263" customFormat="1" ht="15" x14ac:dyDescent="0.2">
      <c r="A183" s="84"/>
      <c r="B183" s="85"/>
      <c r="C183" s="84"/>
      <c r="D183" s="88"/>
      <c r="E183" s="88"/>
      <c r="F183" s="201"/>
      <c r="G183" s="88"/>
      <c r="H183" s="216"/>
      <c r="I183" s="220"/>
      <c r="J183" s="202"/>
      <c r="K183" s="88"/>
      <c r="L183" s="203"/>
      <c r="M183" s="203"/>
      <c r="N183" s="201"/>
      <c r="O183" s="202"/>
      <c r="P183" s="88"/>
      <c r="Q183" s="203"/>
      <c r="R183" s="203"/>
      <c r="S183" s="87"/>
      <c r="T183" s="87"/>
      <c r="U183" s="88"/>
      <c r="V183" s="203"/>
      <c r="W183" s="203"/>
      <c r="X183" s="201"/>
      <c r="Y183" s="201"/>
      <c r="Z183" s="87"/>
      <c r="AA183" s="224"/>
      <c r="AB183" s="201"/>
      <c r="AC183" s="335"/>
      <c r="AD183" s="224"/>
      <c r="AE183" s="88"/>
      <c r="AF183" s="88"/>
      <c r="AG183" s="86"/>
      <c r="AH183" s="86"/>
      <c r="AI183" s="89"/>
      <c r="AJ183" s="86"/>
      <c r="AK183" s="86"/>
      <c r="AL183" s="86"/>
      <c r="AM183" s="86"/>
      <c r="AN183" s="86"/>
      <c r="AO183" s="86"/>
      <c r="AP183" s="115"/>
      <c r="AQ183" s="116"/>
      <c r="AR183" s="116"/>
      <c r="AS183" s="136"/>
      <c r="AT183" s="116"/>
      <c r="AU183" s="86"/>
      <c r="AV183" s="86"/>
      <c r="AW183" s="86"/>
      <c r="AX183" s="86"/>
      <c r="AY183" s="86"/>
      <c r="AZ183" s="90"/>
      <c r="BA183" s="90"/>
      <c r="BB183" s="86"/>
      <c r="BC183" s="116"/>
      <c r="BD183" s="116"/>
      <c r="BE183" s="116"/>
      <c r="BF183" s="86"/>
      <c r="BG183" s="91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261"/>
      <c r="CG183" s="337"/>
    </row>
    <row r="184" spans="1:85" s="263" customFormat="1" ht="15" x14ac:dyDescent="0.2">
      <c r="A184" s="84"/>
      <c r="B184" s="85"/>
      <c r="C184" s="84"/>
      <c r="D184" s="88"/>
      <c r="E184" s="88"/>
      <c r="F184" s="201"/>
      <c r="G184" s="88"/>
      <c r="H184" s="216"/>
      <c r="I184" s="220"/>
      <c r="J184" s="202"/>
      <c r="K184" s="88"/>
      <c r="L184" s="203"/>
      <c r="M184" s="203"/>
      <c r="N184" s="201"/>
      <c r="O184" s="202"/>
      <c r="P184" s="88"/>
      <c r="Q184" s="203"/>
      <c r="R184" s="203"/>
      <c r="S184" s="87"/>
      <c r="T184" s="87"/>
      <c r="U184" s="88"/>
      <c r="V184" s="203"/>
      <c r="W184" s="203"/>
      <c r="X184" s="201"/>
      <c r="Y184" s="201"/>
      <c r="Z184" s="87"/>
      <c r="AA184" s="224"/>
      <c r="AB184" s="201"/>
      <c r="AC184" s="335"/>
      <c r="AD184" s="224"/>
      <c r="AE184" s="88"/>
      <c r="AF184" s="88"/>
      <c r="AG184" s="86"/>
      <c r="AH184" s="86"/>
      <c r="AI184" s="89"/>
      <c r="AJ184" s="86"/>
      <c r="AK184" s="86"/>
      <c r="AL184" s="86"/>
      <c r="AM184" s="86"/>
      <c r="AN184" s="86"/>
      <c r="AO184" s="86"/>
      <c r="AP184" s="115"/>
      <c r="AQ184" s="116"/>
      <c r="AR184" s="116"/>
      <c r="AS184" s="136"/>
      <c r="AT184" s="116"/>
      <c r="AU184" s="86"/>
      <c r="AV184" s="86"/>
      <c r="AW184" s="86"/>
      <c r="AX184" s="86"/>
      <c r="AY184" s="86"/>
      <c r="AZ184" s="90"/>
      <c r="BA184" s="90"/>
      <c r="BB184" s="86"/>
      <c r="BC184" s="116"/>
      <c r="BD184" s="116"/>
      <c r="BE184" s="116"/>
      <c r="BF184" s="86"/>
      <c r="BG184" s="91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261"/>
      <c r="CG184" s="337"/>
    </row>
    <row r="185" spans="1:85" s="263" customFormat="1" ht="15" x14ac:dyDescent="0.2">
      <c r="A185" s="84"/>
      <c r="B185" s="85"/>
      <c r="C185" s="84"/>
      <c r="D185" s="88"/>
      <c r="E185" s="88"/>
      <c r="F185" s="201"/>
      <c r="G185" s="88"/>
      <c r="H185" s="216"/>
      <c r="I185" s="220"/>
      <c r="J185" s="202"/>
      <c r="K185" s="88"/>
      <c r="L185" s="203"/>
      <c r="M185" s="203"/>
      <c r="N185" s="201"/>
      <c r="O185" s="202"/>
      <c r="P185" s="88"/>
      <c r="Q185" s="203"/>
      <c r="R185" s="203"/>
      <c r="S185" s="87"/>
      <c r="T185" s="87"/>
      <c r="U185" s="88"/>
      <c r="V185" s="203"/>
      <c r="W185" s="203"/>
      <c r="X185" s="201"/>
      <c r="Y185" s="201"/>
      <c r="Z185" s="87"/>
      <c r="AA185" s="224"/>
      <c r="AB185" s="201"/>
      <c r="AC185" s="335"/>
      <c r="AD185" s="224"/>
      <c r="AE185" s="88"/>
      <c r="AF185" s="88"/>
      <c r="AG185" s="86"/>
      <c r="AH185" s="86"/>
      <c r="AI185" s="89"/>
      <c r="AJ185" s="86"/>
      <c r="AK185" s="86"/>
      <c r="AL185" s="86"/>
      <c r="AM185" s="86"/>
      <c r="AN185" s="86"/>
      <c r="AO185" s="86"/>
      <c r="AP185" s="115"/>
      <c r="AQ185" s="116"/>
      <c r="AR185" s="116"/>
      <c r="AS185" s="136"/>
      <c r="AT185" s="116"/>
      <c r="AU185" s="86"/>
      <c r="AV185" s="86"/>
      <c r="AW185" s="86"/>
      <c r="AX185" s="86"/>
      <c r="AY185" s="86"/>
      <c r="AZ185" s="90"/>
      <c r="BA185" s="90"/>
      <c r="BB185" s="86"/>
      <c r="BC185" s="116"/>
      <c r="BD185" s="116"/>
      <c r="BE185" s="116"/>
      <c r="BF185" s="86"/>
      <c r="BG185" s="91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261"/>
      <c r="CG185" s="337"/>
    </row>
    <row r="186" spans="1:85" s="263" customFormat="1" ht="15" x14ac:dyDescent="0.2">
      <c r="A186" s="84"/>
      <c r="B186" s="85"/>
      <c r="C186" s="84"/>
      <c r="D186" s="88"/>
      <c r="E186" s="88"/>
      <c r="F186" s="201"/>
      <c r="G186" s="88"/>
      <c r="H186" s="216"/>
      <c r="I186" s="220"/>
      <c r="J186" s="202"/>
      <c r="K186" s="88"/>
      <c r="L186" s="203"/>
      <c r="M186" s="203"/>
      <c r="N186" s="201"/>
      <c r="O186" s="202"/>
      <c r="P186" s="88"/>
      <c r="Q186" s="203"/>
      <c r="R186" s="203"/>
      <c r="S186" s="87"/>
      <c r="T186" s="87"/>
      <c r="U186" s="88"/>
      <c r="V186" s="203"/>
      <c r="W186" s="203"/>
      <c r="X186" s="201"/>
      <c r="Y186" s="201"/>
      <c r="Z186" s="87"/>
      <c r="AA186" s="224"/>
      <c r="AB186" s="201"/>
      <c r="AC186" s="335"/>
      <c r="AD186" s="224"/>
      <c r="AE186" s="88"/>
      <c r="AF186" s="88"/>
      <c r="AG186" s="86"/>
      <c r="AH186" s="86"/>
      <c r="AI186" s="89"/>
      <c r="AJ186" s="86"/>
      <c r="AK186" s="86"/>
      <c r="AL186" s="86"/>
      <c r="AM186" s="86"/>
      <c r="AN186" s="86"/>
      <c r="AO186" s="86"/>
      <c r="AP186" s="115"/>
      <c r="AQ186" s="116"/>
      <c r="AR186" s="116"/>
      <c r="AS186" s="136"/>
      <c r="AT186" s="116"/>
      <c r="AU186" s="86"/>
      <c r="AV186" s="86"/>
      <c r="AW186" s="86"/>
      <c r="AX186" s="86"/>
      <c r="AY186" s="86"/>
      <c r="AZ186" s="90"/>
      <c r="BA186" s="90"/>
      <c r="BB186" s="86"/>
      <c r="BC186" s="116"/>
      <c r="BD186" s="116"/>
      <c r="BE186" s="116"/>
      <c r="BF186" s="86"/>
      <c r="BG186" s="91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261"/>
      <c r="CG186" s="337"/>
    </row>
    <row r="187" spans="1:85" s="263" customFormat="1" ht="15" x14ac:dyDescent="0.2">
      <c r="A187" s="84"/>
      <c r="B187" s="85"/>
      <c r="C187" s="84"/>
      <c r="D187" s="88"/>
      <c r="E187" s="88"/>
      <c r="F187" s="201"/>
      <c r="G187" s="88"/>
      <c r="H187" s="216"/>
      <c r="I187" s="220"/>
      <c r="J187" s="202"/>
      <c r="K187" s="88"/>
      <c r="L187" s="203"/>
      <c r="M187" s="203"/>
      <c r="N187" s="201"/>
      <c r="O187" s="202"/>
      <c r="P187" s="88"/>
      <c r="Q187" s="203"/>
      <c r="R187" s="203"/>
      <c r="S187" s="87"/>
      <c r="T187" s="87"/>
      <c r="U187" s="88"/>
      <c r="V187" s="203"/>
      <c r="W187" s="203"/>
      <c r="X187" s="201"/>
      <c r="Y187" s="201"/>
      <c r="Z187" s="87"/>
      <c r="AA187" s="224"/>
      <c r="AB187" s="201"/>
      <c r="AC187" s="335"/>
      <c r="AD187" s="224"/>
      <c r="AE187" s="88"/>
      <c r="AF187" s="88"/>
      <c r="AG187" s="86"/>
      <c r="AH187" s="86"/>
      <c r="AI187" s="89"/>
      <c r="AJ187" s="86"/>
      <c r="AK187" s="86"/>
      <c r="AL187" s="86"/>
      <c r="AM187" s="86"/>
      <c r="AN187" s="86"/>
      <c r="AO187" s="86"/>
      <c r="AP187" s="115"/>
      <c r="AQ187" s="116"/>
      <c r="AR187" s="116"/>
      <c r="AS187" s="136"/>
      <c r="AT187" s="116"/>
      <c r="AU187" s="86"/>
      <c r="AV187" s="86"/>
      <c r="AW187" s="86"/>
      <c r="AX187" s="86"/>
      <c r="AY187" s="86"/>
      <c r="AZ187" s="90"/>
      <c r="BA187" s="90"/>
      <c r="BB187" s="86"/>
      <c r="BC187" s="116"/>
      <c r="BD187" s="116"/>
      <c r="BE187" s="116"/>
      <c r="BF187" s="86"/>
      <c r="BG187" s="91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261"/>
      <c r="CG187" s="337"/>
    </row>
    <row r="188" spans="1:85" s="263" customFormat="1" ht="15" x14ac:dyDescent="0.2">
      <c r="A188" s="84"/>
      <c r="B188" s="85"/>
      <c r="C188" s="84"/>
      <c r="D188" s="88"/>
      <c r="E188" s="88"/>
      <c r="F188" s="201"/>
      <c r="G188" s="88"/>
      <c r="H188" s="216"/>
      <c r="I188" s="220"/>
      <c r="J188" s="202"/>
      <c r="K188" s="88"/>
      <c r="L188" s="203"/>
      <c r="M188" s="203"/>
      <c r="N188" s="201"/>
      <c r="O188" s="202"/>
      <c r="P188" s="88"/>
      <c r="Q188" s="203"/>
      <c r="R188" s="203"/>
      <c r="S188" s="87"/>
      <c r="T188" s="87"/>
      <c r="U188" s="88"/>
      <c r="V188" s="203"/>
      <c r="W188" s="203"/>
      <c r="X188" s="201"/>
      <c r="Y188" s="201"/>
      <c r="Z188" s="87"/>
      <c r="AA188" s="224"/>
      <c r="AB188" s="201"/>
      <c r="AC188" s="335"/>
      <c r="AD188" s="224"/>
      <c r="AE188" s="88"/>
      <c r="AF188" s="88"/>
      <c r="AG188" s="86"/>
      <c r="AH188" s="86"/>
      <c r="AI188" s="89"/>
      <c r="AJ188" s="86"/>
      <c r="AK188" s="86"/>
      <c r="AL188" s="86"/>
      <c r="AM188" s="86"/>
      <c r="AN188" s="86"/>
      <c r="AO188" s="86"/>
      <c r="AP188" s="115"/>
      <c r="AQ188" s="116"/>
      <c r="AR188" s="116"/>
      <c r="AS188" s="136"/>
      <c r="AT188" s="116"/>
      <c r="AU188" s="86"/>
      <c r="AV188" s="86"/>
      <c r="AW188" s="86"/>
      <c r="AX188" s="86"/>
      <c r="AY188" s="86"/>
      <c r="AZ188" s="90"/>
      <c r="BA188" s="90"/>
      <c r="BB188" s="86"/>
      <c r="BC188" s="116"/>
      <c r="BD188" s="116"/>
      <c r="BE188" s="116"/>
      <c r="BF188" s="86"/>
      <c r="BG188" s="91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261"/>
      <c r="CG188" s="337"/>
    </row>
    <row r="189" spans="1:85" s="263" customFormat="1" ht="15" x14ac:dyDescent="0.2">
      <c r="A189" s="84"/>
      <c r="B189" s="85"/>
      <c r="C189" s="84"/>
      <c r="D189" s="88"/>
      <c r="E189" s="88"/>
      <c r="F189" s="201"/>
      <c r="G189" s="88"/>
      <c r="H189" s="216"/>
      <c r="I189" s="220"/>
      <c r="J189" s="202"/>
      <c r="K189" s="88"/>
      <c r="L189" s="203"/>
      <c r="M189" s="203"/>
      <c r="N189" s="201"/>
      <c r="O189" s="202"/>
      <c r="P189" s="88"/>
      <c r="Q189" s="203"/>
      <c r="R189" s="203"/>
      <c r="S189" s="87"/>
      <c r="T189" s="87"/>
      <c r="U189" s="88"/>
      <c r="V189" s="203"/>
      <c r="W189" s="203"/>
      <c r="X189" s="201"/>
      <c r="Y189" s="201"/>
      <c r="Z189" s="87"/>
      <c r="AA189" s="224"/>
      <c r="AB189" s="201"/>
      <c r="AC189" s="335"/>
      <c r="AD189" s="224"/>
      <c r="AE189" s="88"/>
      <c r="AF189" s="88"/>
      <c r="AG189" s="86"/>
      <c r="AH189" s="86"/>
      <c r="AI189" s="89"/>
      <c r="AJ189" s="86"/>
      <c r="AK189" s="86"/>
      <c r="AL189" s="86"/>
      <c r="AM189" s="86"/>
      <c r="AN189" s="86"/>
      <c r="AO189" s="86"/>
      <c r="AP189" s="115"/>
      <c r="AQ189" s="116"/>
      <c r="AR189" s="116"/>
      <c r="AS189" s="136"/>
      <c r="AT189" s="116"/>
      <c r="AU189" s="86"/>
      <c r="AV189" s="86"/>
      <c r="AW189" s="86"/>
      <c r="AX189" s="86"/>
      <c r="AY189" s="86"/>
      <c r="AZ189" s="90"/>
      <c r="BA189" s="90"/>
      <c r="BB189" s="86"/>
      <c r="BC189" s="116"/>
      <c r="BD189" s="116"/>
      <c r="BE189" s="116"/>
      <c r="BF189" s="86"/>
      <c r="BG189" s="91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261"/>
      <c r="CG189" s="337"/>
    </row>
    <row r="190" spans="1:85" s="263" customFormat="1" ht="15" x14ac:dyDescent="0.2">
      <c r="A190" s="84"/>
      <c r="B190" s="85"/>
      <c r="C190" s="84"/>
      <c r="D190" s="88"/>
      <c r="E190" s="88"/>
      <c r="F190" s="201"/>
      <c r="G190" s="88"/>
      <c r="H190" s="216"/>
      <c r="I190" s="220"/>
      <c r="J190" s="202"/>
      <c r="K190" s="88"/>
      <c r="L190" s="203"/>
      <c r="M190" s="203"/>
      <c r="N190" s="201"/>
      <c r="O190" s="202"/>
      <c r="P190" s="88"/>
      <c r="Q190" s="203"/>
      <c r="R190" s="203"/>
      <c r="S190" s="87"/>
      <c r="T190" s="87"/>
      <c r="U190" s="88"/>
      <c r="V190" s="203"/>
      <c r="W190" s="203"/>
      <c r="X190" s="201"/>
      <c r="Y190" s="201"/>
      <c r="Z190" s="87"/>
      <c r="AA190" s="224"/>
      <c r="AB190" s="201"/>
      <c r="AC190" s="335"/>
      <c r="AD190" s="224"/>
      <c r="AE190" s="88"/>
      <c r="AF190" s="88"/>
      <c r="AG190" s="86"/>
      <c r="AH190" s="86"/>
      <c r="AI190" s="89"/>
      <c r="AJ190" s="86"/>
      <c r="AK190" s="86"/>
      <c r="AL190" s="86"/>
      <c r="AM190" s="86"/>
      <c r="AN190" s="86"/>
      <c r="AO190" s="86"/>
      <c r="AP190" s="115"/>
      <c r="AQ190" s="116"/>
      <c r="AR190" s="116"/>
      <c r="AS190" s="136"/>
      <c r="AT190" s="116"/>
      <c r="AU190" s="86"/>
      <c r="AV190" s="86"/>
      <c r="AW190" s="86"/>
      <c r="AX190" s="86"/>
      <c r="AY190" s="86"/>
      <c r="AZ190" s="90"/>
      <c r="BA190" s="90"/>
      <c r="BB190" s="86"/>
      <c r="BC190" s="116"/>
      <c r="BD190" s="116"/>
      <c r="BE190" s="116"/>
      <c r="BF190" s="86"/>
      <c r="BG190" s="91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261"/>
      <c r="CG190" s="337"/>
    </row>
    <row r="191" spans="1:85" s="263" customFormat="1" ht="15.75" x14ac:dyDescent="0.2">
      <c r="A191" s="84"/>
      <c r="B191" s="85"/>
      <c r="C191" s="84"/>
      <c r="D191" s="88"/>
      <c r="E191" s="88"/>
      <c r="F191" s="201"/>
      <c r="G191" s="88"/>
      <c r="H191" s="216"/>
      <c r="I191" s="220"/>
      <c r="J191" s="202"/>
      <c r="K191" s="88"/>
      <c r="L191" s="203"/>
      <c r="M191" s="203"/>
      <c r="N191" s="275"/>
      <c r="O191" s="202"/>
      <c r="P191" s="88"/>
      <c r="Q191" s="343"/>
      <c r="R191" s="203"/>
      <c r="S191" s="87"/>
      <c r="T191" s="87"/>
      <c r="U191" s="88"/>
      <c r="V191" s="203"/>
      <c r="W191" s="203"/>
      <c r="X191" s="201"/>
      <c r="Y191" s="201"/>
      <c r="Z191" s="87"/>
      <c r="AA191" s="224"/>
      <c r="AB191" s="201"/>
      <c r="AC191" s="335"/>
      <c r="AD191" s="224"/>
      <c r="AE191" s="88"/>
      <c r="AF191" s="88"/>
      <c r="AG191" s="86"/>
      <c r="AH191" s="86"/>
      <c r="AI191" s="89"/>
      <c r="AJ191" s="86"/>
      <c r="AK191" s="86"/>
      <c r="AL191" s="86"/>
      <c r="AM191" s="86"/>
      <c r="AN191" s="86"/>
      <c r="AO191" s="86"/>
      <c r="AP191" s="115"/>
      <c r="AQ191" s="116"/>
      <c r="AR191" s="116"/>
      <c r="AS191" s="136"/>
      <c r="AT191" s="116"/>
      <c r="AU191" s="86"/>
      <c r="AV191" s="86"/>
      <c r="AW191" s="86"/>
      <c r="AX191" s="86"/>
      <c r="AY191" s="86"/>
      <c r="AZ191" s="90"/>
      <c r="BA191" s="90"/>
      <c r="BB191" s="86"/>
      <c r="BC191" s="116"/>
      <c r="BD191" s="116"/>
      <c r="BE191" s="116"/>
      <c r="BF191" s="86"/>
      <c r="BG191" s="91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261"/>
      <c r="CG191" s="337"/>
    </row>
    <row r="192" spans="1:85" s="263" customFormat="1" ht="15.75" x14ac:dyDescent="0.2">
      <c r="A192" s="84"/>
      <c r="B192" s="85"/>
      <c r="C192" s="84"/>
      <c r="D192" s="88"/>
      <c r="E192" s="88"/>
      <c r="F192" s="201"/>
      <c r="G192" s="88"/>
      <c r="H192" s="216"/>
      <c r="I192" s="220"/>
      <c r="J192" s="202"/>
      <c r="K192" s="88"/>
      <c r="L192" s="203"/>
      <c r="M192" s="203"/>
      <c r="N192" s="201"/>
      <c r="O192" s="202"/>
      <c r="P192" s="88"/>
      <c r="Q192" s="342"/>
      <c r="R192" s="203"/>
      <c r="S192" s="87"/>
      <c r="T192" s="87"/>
      <c r="U192" s="88"/>
      <c r="V192" s="203"/>
      <c r="W192" s="203"/>
      <c r="X192" s="201"/>
      <c r="Y192" s="201"/>
      <c r="Z192" s="87"/>
      <c r="AA192" s="224"/>
      <c r="AB192" s="201"/>
      <c r="AC192" s="335"/>
      <c r="AD192" s="224"/>
      <c r="AE192" s="88"/>
      <c r="AF192" s="88"/>
      <c r="AG192" s="86"/>
      <c r="AH192" s="86"/>
      <c r="AI192" s="89"/>
      <c r="AJ192" s="86"/>
      <c r="AK192" s="86"/>
      <c r="AL192" s="86"/>
      <c r="AM192" s="86"/>
      <c r="AN192" s="86"/>
      <c r="AO192" s="86"/>
      <c r="AP192" s="115"/>
      <c r="AQ192" s="116"/>
      <c r="AR192" s="116"/>
      <c r="AS192" s="136"/>
      <c r="AT192" s="116"/>
      <c r="AU192" s="86"/>
      <c r="AV192" s="86"/>
      <c r="AW192" s="86"/>
      <c r="AX192" s="86"/>
      <c r="AY192" s="86"/>
      <c r="AZ192" s="90"/>
      <c r="BA192" s="90"/>
      <c r="BB192" s="86"/>
      <c r="BC192" s="116"/>
      <c r="BD192" s="116"/>
      <c r="BE192" s="116"/>
      <c r="BF192" s="86"/>
      <c r="BG192" s="91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261"/>
      <c r="CG192" s="337"/>
    </row>
    <row r="193" spans="1:85" s="263" customFormat="1" ht="15.75" x14ac:dyDescent="0.2">
      <c r="A193" s="84"/>
      <c r="B193" s="85"/>
      <c r="C193" s="84"/>
      <c r="D193" s="88"/>
      <c r="E193" s="88"/>
      <c r="F193" s="201"/>
      <c r="G193" s="88"/>
      <c r="H193" s="216"/>
      <c r="I193" s="220"/>
      <c r="J193" s="202"/>
      <c r="K193" s="88"/>
      <c r="L193" s="203"/>
      <c r="M193" s="203"/>
      <c r="N193" s="201"/>
      <c r="O193" s="202"/>
      <c r="P193" s="88"/>
      <c r="Q193" s="342"/>
      <c r="R193" s="203"/>
      <c r="S193" s="87"/>
      <c r="T193" s="87"/>
      <c r="U193" s="88"/>
      <c r="V193" s="203"/>
      <c r="W193" s="203"/>
      <c r="X193" s="201"/>
      <c r="Y193" s="201"/>
      <c r="Z193" s="87"/>
      <c r="AA193" s="224"/>
      <c r="AB193" s="201"/>
      <c r="AC193" s="335"/>
      <c r="AD193" s="224"/>
      <c r="AE193" s="88"/>
      <c r="AF193" s="88"/>
      <c r="AG193" s="86"/>
      <c r="AH193" s="86"/>
      <c r="AI193" s="89"/>
      <c r="AJ193" s="86"/>
      <c r="AK193" s="86"/>
      <c r="AL193" s="86"/>
      <c r="AM193" s="86"/>
      <c r="AN193" s="86"/>
      <c r="AO193" s="86"/>
      <c r="AP193" s="115"/>
      <c r="AQ193" s="116"/>
      <c r="AR193" s="116"/>
      <c r="AS193" s="136"/>
      <c r="AT193" s="116"/>
      <c r="AU193" s="86"/>
      <c r="AV193" s="86"/>
      <c r="AW193" s="86"/>
      <c r="AX193" s="86"/>
      <c r="AY193" s="86"/>
      <c r="AZ193" s="90"/>
      <c r="BA193" s="90"/>
      <c r="BB193" s="86"/>
      <c r="BC193" s="116"/>
      <c r="BD193" s="116"/>
      <c r="BE193" s="116"/>
      <c r="BF193" s="86"/>
      <c r="BG193" s="91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261"/>
      <c r="CG193" s="337"/>
    </row>
    <row r="194" spans="1:85" s="263" customFormat="1" ht="15" x14ac:dyDescent="0.2">
      <c r="A194" s="84"/>
      <c r="B194" s="85"/>
      <c r="C194" s="84"/>
      <c r="D194" s="88"/>
      <c r="E194" s="88"/>
      <c r="F194" s="201"/>
      <c r="G194" s="88"/>
      <c r="H194" s="216"/>
      <c r="I194" s="220"/>
      <c r="J194" s="202"/>
      <c r="K194" s="88"/>
      <c r="L194" s="203"/>
      <c r="M194" s="203"/>
      <c r="N194" s="201"/>
      <c r="O194" s="202"/>
      <c r="P194" s="88"/>
      <c r="Q194" s="203"/>
      <c r="R194" s="203"/>
      <c r="S194" s="87"/>
      <c r="T194" s="87"/>
      <c r="U194" s="88"/>
      <c r="V194" s="203"/>
      <c r="W194" s="203"/>
      <c r="X194" s="201"/>
      <c r="Y194" s="201"/>
      <c r="Z194" s="87"/>
      <c r="AA194" s="224"/>
      <c r="AB194" s="201"/>
      <c r="AC194" s="335"/>
      <c r="AD194" s="224"/>
      <c r="AE194" s="88"/>
      <c r="AF194" s="88"/>
      <c r="AG194" s="86"/>
      <c r="AH194" s="86"/>
      <c r="AI194" s="89"/>
      <c r="AJ194" s="86"/>
      <c r="AK194" s="86"/>
      <c r="AL194" s="86"/>
      <c r="AM194" s="86"/>
      <c r="AN194" s="86"/>
      <c r="AO194" s="86"/>
      <c r="AP194" s="115"/>
      <c r="AQ194" s="116"/>
      <c r="AR194" s="116"/>
      <c r="AS194" s="136"/>
      <c r="AT194" s="116"/>
      <c r="AU194" s="86"/>
      <c r="AV194" s="86"/>
      <c r="AW194" s="86"/>
      <c r="AX194" s="86"/>
      <c r="AY194" s="86"/>
      <c r="AZ194" s="90"/>
      <c r="BA194" s="90"/>
      <c r="BB194" s="86"/>
      <c r="BC194" s="116"/>
      <c r="BD194" s="116"/>
      <c r="BE194" s="116"/>
      <c r="BF194" s="86"/>
      <c r="BG194" s="91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261"/>
      <c r="CG194" s="337"/>
    </row>
    <row r="195" spans="1:85" s="263" customFormat="1" ht="15" x14ac:dyDescent="0.2">
      <c r="A195" s="84"/>
      <c r="B195" s="85"/>
      <c r="C195" s="84"/>
      <c r="D195" s="88"/>
      <c r="E195" s="88"/>
      <c r="F195" s="201"/>
      <c r="G195" s="88"/>
      <c r="H195" s="216"/>
      <c r="I195" s="220"/>
      <c r="J195" s="202"/>
      <c r="K195" s="88"/>
      <c r="L195" s="203"/>
      <c r="M195" s="203"/>
      <c r="N195" s="201"/>
      <c r="O195" s="202"/>
      <c r="P195" s="88"/>
      <c r="Q195" s="203"/>
      <c r="R195" s="203"/>
      <c r="S195" s="87"/>
      <c r="T195" s="87"/>
      <c r="U195" s="88"/>
      <c r="V195" s="203"/>
      <c r="W195" s="203"/>
      <c r="X195" s="201"/>
      <c r="Y195" s="201"/>
      <c r="Z195" s="87"/>
      <c r="AA195" s="224"/>
      <c r="AB195" s="201"/>
      <c r="AC195" s="335"/>
      <c r="AD195" s="224"/>
      <c r="AE195" s="88"/>
      <c r="AF195" s="88"/>
      <c r="AG195" s="86"/>
      <c r="AH195" s="86"/>
      <c r="AI195" s="89"/>
      <c r="AJ195" s="86"/>
      <c r="AK195" s="86"/>
      <c r="AL195" s="86"/>
      <c r="AM195" s="86"/>
      <c r="AN195" s="86"/>
      <c r="AO195" s="86"/>
      <c r="AP195" s="115"/>
      <c r="AQ195" s="116"/>
      <c r="AR195" s="116"/>
      <c r="AS195" s="136"/>
      <c r="AT195" s="116"/>
      <c r="AU195" s="86"/>
      <c r="AV195" s="86"/>
      <c r="AW195" s="86"/>
      <c r="AX195" s="86"/>
      <c r="AY195" s="86"/>
      <c r="AZ195" s="90"/>
      <c r="BA195" s="90"/>
      <c r="BB195" s="86"/>
      <c r="BC195" s="116"/>
      <c r="BD195" s="116"/>
      <c r="BE195" s="116"/>
      <c r="BF195" s="86"/>
      <c r="BG195" s="91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261"/>
      <c r="CG195" s="337"/>
    </row>
    <row r="196" spans="1:85" s="263" customFormat="1" ht="15" x14ac:dyDescent="0.2">
      <c r="A196" s="84"/>
      <c r="B196" s="85"/>
      <c r="C196" s="84"/>
      <c r="D196" s="88"/>
      <c r="E196" s="88"/>
      <c r="F196" s="201"/>
      <c r="G196" s="88"/>
      <c r="H196" s="216"/>
      <c r="I196" s="220"/>
      <c r="J196" s="202"/>
      <c r="K196" s="88"/>
      <c r="L196" s="203"/>
      <c r="M196" s="203"/>
      <c r="N196" s="201"/>
      <c r="O196" s="202"/>
      <c r="P196" s="88"/>
      <c r="Q196" s="203"/>
      <c r="R196" s="203"/>
      <c r="S196" s="87"/>
      <c r="T196" s="87"/>
      <c r="U196" s="88"/>
      <c r="V196" s="203"/>
      <c r="W196" s="203"/>
      <c r="X196" s="201"/>
      <c r="Y196" s="201"/>
      <c r="Z196" s="87"/>
      <c r="AA196" s="224"/>
      <c r="AB196" s="201"/>
      <c r="AC196" s="335"/>
      <c r="AD196" s="224"/>
      <c r="AE196" s="88"/>
      <c r="AF196" s="88"/>
      <c r="AG196" s="86"/>
      <c r="AH196" s="86"/>
      <c r="AI196" s="89"/>
      <c r="AJ196" s="86"/>
      <c r="AK196" s="86"/>
      <c r="AL196" s="86"/>
      <c r="AM196" s="86"/>
      <c r="AN196" s="86"/>
      <c r="AO196" s="86"/>
      <c r="AP196" s="115"/>
      <c r="AQ196" s="116"/>
      <c r="AR196" s="116"/>
      <c r="AS196" s="136"/>
      <c r="AT196" s="116"/>
      <c r="AU196" s="86"/>
      <c r="AV196" s="86"/>
      <c r="AW196" s="86"/>
      <c r="AX196" s="86"/>
      <c r="AY196" s="86"/>
      <c r="AZ196" s="90"/>
      <c r="BA196" s="90"/>
      <c r="BB196" s="86"/>
      <c r="BC196" s="116"/>
      <c r="BD196" s="116"/>
      <c r="BE196" s="116"/>
      <c r="BF196" s="86"/>
      <c r="BG196" s="91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261"/>
      <c r="CG196" s="337"/>
    </row>
    <row r="197" spans="1:85" s="263" customFormat="1" ht="15" x14ac:dyDescent="0.2">
      <c r="A197" s="84"/>
      <c r="B197" s="85"/>
      <c r="C197" s="84"/>
      <c r="D197" s="88"/>
      <c r="E197" s="88"/>
      <c r="F197" s="201"/>
      <c r="G197" s="88"/>
      <c r="H197" s="216"/>
      <c r="I197" s="220"/>
      <c r="J197" s="202"/>
      <c r="K197" s="88"/>
      <c r="L197" s="203"/>
      <c r="M197" s="203"/>
      <c r="N197" s="201"/>
      <c r="O197" s="202"/>
      <c r="P197" s="88"/>
      <c r="Q197" s="203"/>
      <c r="R197" s="203"/>
      <c r="S197" s="87"/>
      <c r="T197" s="87"/>
      <c r="U197" s="88"/>
      <c r="V197" s="203"/>
      <c r="W197" s="203"/>
      <c r="X197" s="201"/>
      <c r="Y197" s="201"/>
      <c r="Z197" s="87"/>
      <c r="AA197" s="224"/>
      <c r="AB197" s="201"/>
      <c r="AC197" s="335"/>
      <c r="AD197" s="224"/>
      <c r="AE197" s="88"/>
      <c r="AF197" s="88"/>
      <c r="AG197" s="86"/>
      <c r="AH197" s="86"/>
      <c r="AI197" s="89"/>
      <c r="AJ197" s="86"/>
      <c r="AK197" s="86"/>
      <c r="AL197" s="86"/>
      <c r="AM197" s="86"/>
      <c r="AN197" s="86"/>
      <c r="AO197" s="86"/>
      <c r="AP197" s="115"/>
      <c r="AQ197" s="116"/>
      <c r="AR197" s="116"/>
      <c r="AS197" s="136"/>
      <c r="AT197" s="116"/>
      <c r="AU197" s="86"/>
      <c r="AV197" s="86"/>
      <c r="AW197" s="86"/>
      <c r="AX197" s="86"/>
      <c r="AY197" s="86"/>
      <c r="AZ197" s="90"/>
      <c r="BA197" s="90"/>
      <c r="BB197" s="86"/>
      <c r="BC197" s="116"/>
      <c r="BD197" s="116"/>
      <c r="BE197" s="116"/>
      <c r="BF197" s="86"/>
      <c r="BG197" s="91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261"/>
      <c r="CG197" s="337"/>
    </row>
    <row r="198" spans="1:85" s="263" customFormat="1" ht="15" x14ac:dyDescent="0.2">
      <c r="A198" s="84"/>
      <c r="B198" s="85"/>
      <c r="C198" s="84"/>
      <c r="D198" s="88"/>
      <c r="E198" s="88"/>
      <c r="F198" s="201"/>
      <c r="G198" s="88"/>
      <c r="H198" s="216"/>
      <c r="I198" s="220"/>
      <c r="J198" s="202"/>
      <c r="K198" s="88"/>
      <c r="L198" s="203"/>
      <c r="M198" s="203"/>
      <c r="N198" s="201"/>
      <c r="O198" s="202"/>
      <c r="P198" s="88"/>
      <c r="Q198" s="203"/>
      <c r="R198" s="203"/>
      <c r="S198" s="87"/>
      <c r="T198" s="87"/>
      <c r="U198" s="88"/>
      <c r="V198" s="203"/>
      <c r="W198" s="203"/>
      <c r="X198" s="201"/>
      <c r="Y198" s="201"/>
      <c r="Z198" s="87"/>
      <c r="AA198" s="224"/>
      <c r="AB198" s="201"/>
      <c r="AC198" s="335"/>
      <c r="AD198" s="224"/>
      <c r="AE198" s="88"/>
      <c r="AF198" s="88"/>
      <c r="AG198" s="86"/>
      <c r="AH198" s="86"/>
      <c r="AI198" s="89"/>
      <c r="AJ198" s="86"/>
      <c r="AK198" s="86"/>
      <c r="AL198" s="86"/>
      <c r="AM198" s="86"/>
      <c r="AN198" s="86"/>
      <c r="AO198" s="86"/>
      <c r="AP198" s="115"/>
      <c r="AQ198" s="116"/>
      <c r="AR198" s="116"/>
      <c r="AS198" s="136"/>
      <c r="AT198" s="116"/>
      <c r="AU198" s="86"/>
      <c r="AV198" s="86"/>
      <c r="AW198" s="86"/>
      <c r="AX198" s="86"/>
      <c r="AY198" s="86"/>
      <c r="AZ198" s="90"/>
      <c r="BA198" s="90"/>
      <c r="BB198" s="86"/>
      <c r="BC198" s="116"/>
      <c r="BD198" s="116"/>
      <c r="BE198" s="116"/>
      <c r="BF198" s="86"/>
      <c r="BG198" s="91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261"/>
      <c r="CG198" s="337"/>
    </row>
    <row r="199" spans="1:85" s="263" customFormat="1" ht="15" x14ac:dyDescent="0.2">
      <c r="A199" s="84"/>
      <c r="B199" s="85"/>
      <c r="C199" s="84"/>
      <c r="D199" s="88"/>
      <c r="E199" s="88"/>
      <c r="F199" s="201"/>
      <c r="G199" s="88"/>
      <c r="H199" s="216"/>
      <c r="I199" s="220"/>
      <c r="J199" s="202"/>
      <c r="K199" s="88"/>
      <c r="L199" s="203"/>
      <c r="M199" s="203"/>
      <c r="N199" s="201"/>
      <c r="O199" s="202"/>
      <c r="P199" s="88"/>
      <c r="Q199" s="203"/>
      <c r="R199" s="203"/>
      <c r="S199" s="87"/>
      <c r="T199" s="87"/>
      <c r="U199" s="88"/>
      <c r="V199" s="203"/>
      <c r="W199" s="203"/>
      <c r="X199" s="201"/>
      <c r="Y199" s="201"/>
      <c r="Z199" s="87"/>
      <c r="AA199" s="224"/>
      <c r="AB199" s="201"/>
      <c r="AC199" s="335"/>
      <c r="AD199" s="224"/>
      <c r="AE199" s="88"/>
      <c r="AF199" s="88"/>
      <c r="AG199" s="86"/>
      <c r="AH199" s="86"/>
      <c r="AI199" s="89"/>
      <c r="AJ199" s="86"/>
      <c r="AK199" s="86"/>
      <c r="AL199" s="86"/>
      <c r="AM199" s="86"/>
      <c r="AN199" s="86"/>
      <c r="AO199" s="86"/>
      <c r="AP199" s="115"/>
      <c r="AQ199" s="116"/>
      <c r="AR199" s="116"/>
      <c r="AS199" s="136"/>
      <c r="AT199" s="116"/>
      <c r="AU199" s="86"/>
      <c r="AV199" s="86"/>
      <c r="AW199" s="86"/>
      <c r="AX199" s="86"/>
      <c r="AY199" s="86"/>
      <c r="AZ199" s="90"/>
      <c r="BA199" s="90"/>
      <c r="BB199" s="86"/>
      <c r="BC199" s="116"/>
      <c r="BD199" s="116"/>
      <c r="BE199" s="116"/>
      <c r="BF199" s="86"/>
      <c r="BG199" s="91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261"/>
      <c r="CG199" s="337"/>
    </row>
    <row r="200" spans="1:85" s="263" customFormat="1" ht="15" x14ac:dyDescent="0.2">
      <c r="A200" s="84"/>
      <c r="B200" s="85"/>
      <c r="C200" s="84"/>
      <c r="D200" s="88"/>
      <c r="E200" s="88"/>
      <c r="F200" s="201"/>
      <c r="G200" s="88"/>
      <c r="H200" s="216"/>
      <c r="I200" s="220"/>
      <c r="J200" s="202"/>
      <c r="K200" s="88"/>
      <c r="L200" s="203"/>
      <c r="M200" s="203"/>
      <c r="N200" s="201"/>
      <c r="O200" s="202"/>
      <c r="P200" s="88"/>
      <c r="Q200" s="203"/>
      <c r="R200" s="203"/>
      <c r="S200" s="87"/>
      <c r="T200" s="87"/>
      <c r="U200" s="88"/>
      <c r="V200" s="203"/>
      <c r="W200" s="203"/>
      <c r="X200" s="201"/>
      <c r="Y200" s="201"/>
      <c r="Z200" s="87"/>
      <c r="AA200" s="224"/>
      <c r="AB200" s="201"/>
      <c r="AC200" s="335"/>
      <c r="AD200" s="224"/>
      <c r="AE200" s="88"/>
      <c r="AF200" s="88"/>
      <c r="AG200" s="86"/>
      <c r="AH200" s="86"/>
      <c r="AI200" s="89"/>
      <c r="AJ200" s="86"/>
      <c r="AK200" s="86"/>
      <c r="AL200" s="86"/>
      <c r="AM200" s="86"/>
      <c r="AN200" s="86"/>
      <c r="AO200" s="86"/>
      <c r="AP200" s="115"/>
      <c r="AQ200" s="116"/>
      <c r="AR200" s="116"/>
      <c r="AS200" s="136"/>
      <c r="AT200" s="116"/>
      <c r="AU200" s="86"/>
      <c r="AV200" s="86"/>
      <c r="AW200" s="86"/>
      <c r="AX200" s="86"/>
      <c r="AY200" s="86"/>
      <c r="AZ200" s="90"/>
      <c r="BA200" s="90"/>
      <c r="BB200" s="86"/>
      <c r="BC200" s="116"/>
      <c r="BD200" s="116"/>
      <c r="BE200" s="116"/>
      <c r="BF200" s="86"/>
      <c r="BG200" s="91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261"/>
      <c r="CG200" s="337"/>
    </row>
    <row r="201" spans="1:85" s="263" customFormat="1" ht="15" x14ac:dyDescent="0.2">
      <c r="A201" s="84"/>
      <c r="B201" s="85"/>
      <c r="C201" s="84"/>
      <c r="D201" s="88"/>
      <c r="E201" s="88"/>
      <c r="F201" s="201"/>
      <c r="G201" s="88"/>
      <c r="H201" s="216"/>
      <c r="I201" s="220"/>
      <c r="J201" s="202"/>
      <c r="K201" s="88"/>
      <c r="L201" s="203"/>
      <c r="M201" s="203"/>
      <c r="N201" s="201"/>
      <c r="O201" s="202"/>
      <c r="P201" s="88"/>
      <c r="Q201" s="203"/>
      <c r="R201" s="203"/>
      <c r="S201" s="87"/>
      <c r="T201" s="87"/>
      <c r="U201" s="88"/>
      <c r="V201" s="203"/>
      <c r="W201" s="203"/>
      <c r="X201" s="201"/>
      <c r="Y201" s="201"/>
      <c r="Z201" s="87"/>
      <c r="AA201" s="224"/>
      <c r="AB201" s="201"/>
      <c r="AC201" s="335"/>
      <c r="AD201" s="224"/>
      <c r="AE201" s="88"/>
      <c r="AF201" s="88"/>
      <c r="AG201" s="86"/>
      <c r="AH201" s="86"/>
      <c r="AI201" s="89"/>
      <c r="AJ201" s="86"/>
      <c r="AK201" s="86"/>
      <c r="AL201" s="86"/>
      <c r="AM201" s="86"/>
      <c r="AN201" s="86"/>
      <c r="AO201" s="86"/>
      <c r="AP201" s="115"/>
      <c r="AQ201" s="116"/>
      <c r="AR201" s="116"/>
      <c r="AS201" s="136"/>
      <c r="AT201" s="116"/>
      <c r="AU201" s="86"/>
      <c r="AV201" s="86"/>
      <c r="AW201" s="86"/>
      <c r="AX201" s="86"/>
      <c r="AY201" s="86"/>
      <c r="AZ201" s="90"/>
      <c r="BA201" s="90"/>
      <c r="BB201" s="86"/>
      <c r="BC201" s="116"/>
      <c r="BD201" s="116"/>
      <c r="BE201" s="116"/>
      <c r="BF201" s="86"/>
      <c r="BG201" s="91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261"/>
      <c r="CG201" s="337"/>
    </row>
    <row r="202" spans="1:85" s="263" customFormat="1" ht="15" x14ac:dyDescent="0.2">
      <c r="A202" s="84"/>
      <c r="B202" s="85"/>
      <c r="C202" s="84"/>
      <c r="D202" s="88"/>
      <c r="E202" s="88"/>
      <c r="F202" s="201"/>
      <c r="G202" s="88"/>
      <c r="H202" s="216"/>
      <c r="I202" s="220"/>
      <c r="J202" s="202"/>
      <c r="K202" s="88"/>
      <c r="L202" s="203"/>
      <c r="M202" s="203"/>
      <c r="N202" s="201"/>
      <c r="O202" s="202"/>
      <c r="P202" s="88"/>
      <c r="Q202" s="203"/>
      <c r="R202" s="203"/>
      <c r="S202" s="87"/>
      <c r="T202" s="87"/>
      <c r="U202" s="88"/>
      <c r="V202" s="203"/>
      <c r="W202" s="203"/>
      <c r="X202" s="201"/>
      <c r="Y202" s="201"/>
      <c r="Z202" s="87"/>
      <c r="AA202" s="224"/>
      <c r="AB202" s="201"/>
      <c r="AC202" s="335"/>
      <c r="AD202" s="224"/>
      <c r="AE202" s="88"/>
      <c r="AF202" s="88"/>
      <c r="AG202" s="86"/>
      <c r="AH202" s="86"/>
      <c r="AI202" s="89"/>
      <c r="AJ202" s="86"/>
      <c r="AK202" s="86"/>
      <c r="AL202" s="86"/>
      <c r="AM202" s="86"/>
      <c r="AN202" s="86"/>
      <c r="AO202" s="86"/>
      <c r="AP202" s="115"/>
      <c r="AQ202" s="116"/>
      <c r="AR202" s="116"/>
      <c r="AS202" s="136"/>
      <c r="AT202" s="116"/>
      <c r="AU202" s="86"/>
      <c r="AV202" s="86"/>
      <c r="AW202" s="86"/>
      <c r="AX202" s="86"/>
      <c r="AY202" s="86"/>
      <c r="AZ202" s="90"/>
      <c r="BA202" s="90"/>
      <c r="BB202" s="86"/>
      <c r="BC202" s="116"/>
      <c r="BD202" s="116"/>
      <c r="BE202" s="116"/>
      <c r="BF202" s="86"/>
      <c r="BG202" s="91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261"/>
      <c r="CG202" s="337"/>
    </row>
    <row r="203" spans="1:85" s="263" customFormat="1" ht="15" x14ac:dyDescent="0.2">
      <c r="A203" s="84"/>
      <c r="B203" s="85"/>
      <c r="C203" s="84"/>
      <c r="D203" s="88"/>
      <c r="E203" s="88"/>
      <c r="F203" s="201"/>
      <c r="G203" s="88"/>
      <c r="H203" s="216"/>
      <c r="I203" s="220"/>
      <c r="J203" s="202"/>
      <c r="K203" s="88"/>
      <c r="L203" s="203"/>
      <c r="M203" s="203"/>
      <c r="N203" s="201"/>
      <c r="O203" s="202"/>
      <c r="P203" s="88"/>
      <c r="Q203" s="203"/>
      <c r="R203" s="203"/>
      <c r="S203" s="87"/>
      <c r="T203" s="87"/>
      <c r="U203" s="88"/>
      <c r="V203" s="203"/>
      <c r="W203" s="203"/>
      <c r="X203" s="201"/>
      <c r="Y203" s="201"/>
      <c r="Z203" s="87"/>
      <c r="AA203" s="224"/>
      <c r="AB203" s="201"/>
      <c r="AC203" s="335"/>
      <c r="AD203" s="224"/>
      <c r="AE203" s="88"/>
      <c r="AF203" s="88"/>
      <c r="AG203" s="86"/>
      <c r="AH203" s="86"/>
      <c r="AI203" s="89"/>
      <c r="AJ203" s="86"/>
      <c r="AK203" s="86"/>
      <c r="AL203" s="86"/>
      <c r="AM203" s="86"/>
      <c r="AN203" s="86"/>
      <c r="AO203" s="86"/>
      <c r="AP203" s="115"/>
      <c r="AQ203" s="116"/>
      <c r="AR203" s="116"/>
      <c r="AS203" s="136"/>
      <c r="AT203" s="116"/>
      <c r="AU203" s="86"/>
      <c r="AV203" s="86"/>
      <c r="AW203" s="86"/>
      <c r="AX203" s="86"/>
      <c r="AY203" s="86"/>
      <c r="AZ203" s="90"/>
      <c r="BA203" s="90"/>
      <c r="BB203" s="86"/>
      <c r="BC203" s="116"/>
      <c r="BD203" s="116"/>
      <c r="BE203" s="116"/>
      <c r="BF203" s="86"/>
      <c r="BG203" s="91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261"/>
      <c r="CG203" s="337"/>
    </row>
    <row r="204" spans="1:85" s="263" customFormat="1" ht="15" x14ac:dyDescent="0.2">
      <c r="A204" s="84"/>
      <c r="B204" s="85"/>
      <c r="C204" s="84"/>
      <c r="D204" s="88"/>
      <c r="E204" s="88"/>
      <c r="F204" s="201"/>
      <c r="G204" s="88"/>
      <c r="H204" s="216"/>
      <c r="I204" s="220"/>
      <c r="J204" s="202"/>
      <c r="K204" s="88"/>
      <c r="L204" s="203"/>
      <c r="M204" s="203"/>
      <c r="N204" s="201"/>
      <c r="O204" s="202"/>
      <c r="P204" s="88"/>
      <c r="Q204" s="203"/>
      <c r="R204" s="203"/>
      <c r="S204" s="87"/>
      <c r="T204" s="87"/>
      <c r="U204" s="88"/>
      <c r="V204" s="203"/>
      <c r="W204" s="203"/>
      <c r="X204" s="201"/>
      <c r="Y204" s="201"/>
      <c r="Z204" s="87"/>
      <c r="AA204" s="224"/>
      <c r="AB204" s="201"/>
      <c r="AC204" s="335"/>
      <c r="AD204" s="224"/>
      <c r="AE204" s="88"/>
      <c r="AF204" s="88"/>
      <c r="AG204" s="86"/>
      <c r="AH204" s="86"/>
      <c r="AI204" s="89"/>
      <c r="AJ204" s="86"/>
      <c r="AK204" s="86"/>
      <c r="AL204" s="86"/>
      <c r="AM204" s="86"/>
      <c r="AN204" s="86"/>
      <c r="AO204" s="86"/>
      <c r="AP204" s="115"/>
      <c r="AQ204" s="116"/>
      <c r="AR204" s="116"/>
      <c r="AS204" s="136"/>
      <c r="AT204" s="116"/>
      <c r="AU204" s="86"/>
      <c r="AV204" s="86"/>
      <c r="AW204" s="86"/>
      <c r="AX204" s="86"/>
      <c r="AY204" s="86"/>
      <c r="AZ204" s="90"/>
      <c r="BA204" s="90"/>
      <c r="BB204" s="86"/>
      <c r="BC204" s="116"/>
      <c r="BD204" s="116"/>
      <c r="BE204" s="116"/>
      <c r="BF204" s="86"/>
      <c r="BG204" s="91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261"/>
      <c r="CG204" s="337"/>
    </row>
    <row r="205" spans="1:85" s="263" customFormat="1" ht="15" x14ac:dyDescent="0.2">
      <c r="A205" s="84"/>
      <c r="B205" s="85"/>
      <c r="C205" s="84"/>
      <c r="D205" s="88"/>
      <c r="E205" s="88"/>
      <c r="F205" s="201"/>
      <c r="G205" s="88"/>
      <c r="H205" s="216"/>
      <c r="I205" s="220"/>
      <c r="J205" s="202"/>
      <c r="K205" s="88"/>
      <c r="L205" s="203"/>
      <c r="M205" s="203"/>
      <c r="N205" s="201"/>
      <c r="O205" s="202"/>
      <c r="P205" s="88"/>
      <c r="Q205" s="203"/>
      <c r="R205" s="203"/>
      <c r="S205" s="87"/>
      <c r="T205" s="87"/>
      <c r="U205" s="88"/>
      <c r="V205" s="203"/>
      <c r="W205" s="203"/>
      <c r="X205" s="201"/>
      <c r="Y205" s="201"/>
      <c r="Z205" s="87"/>
      <c r="AA205" s="224"/>
      <c r="AB205" s="201"/>
      <c r="AC205" s="335"/>
      <c r="AD205" s="224"/>
      <c r="AE205" s="88"/>
      <c r="AF205" s="88"/>
      <c r="AG205" s="86"/>
      <c r="AH205" s="86"/>
      <c r="AI205" s="89"/>
      <c r="AJ205" s="86"/>
      <c r="AK205" s="86"/>
      <c r="AL205" s="86"/>
      <c r="AM205" s="86"/>
      <c r="AN205" s="86"/>
      <c r="AO205" s="86"/>
      <c r="AP205" s="115"/>
      <c r="AQ205" s="116"/>
      <c r="AR205" s="116"/>
      <c r="AS205" s="136"/>
      <c r="AT205" s="116"/>
      <c r="AU205" s="86"/>
      <c r="AV205" s="86"/>
      <c r="AW205" s="86"/>
      <c r="AX205" s="86"/>
      <c r="AY205" s="86"/>
      <c r="AZ205" s="90"/>
      <c r="BA205" s="90"/>
      <c r="BB205" s="86"/>
      <c r="BC205" s="116"/>
      <c r="BD205" s="116"/>
      <c r="BE205" s="116"/>
      <c r="BF205" s="86"/>
      <c r="BG205" s="91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261"/>
      <c r="CG205" s="337"/>
    </row>
    <row r="206" spans="1:85" s="263" customFormat="1" ht="15" x14ac:dyDescent="0.2">
      <c r="A206" s="84"/>
      <c r="B206" s="85"/>
      <c r="C206" s="84"/>
      <c r="D206" s="88"/>
      <c r="E206" s="88"/>
      <c r="F206" s="201"/>
      <c r="G206" s="88"/>
      <c r="H206" s="216"/>
      <c r="I206" s="220"/>
      <c r="J206" s="202"/>
      <c r="K206" s="88"/>
      <c r="L206" s="203"/>
      <c r="M206" s="203"/>
      <c r="N206" s="201"/>
      <c r="O206" s="202"/>
      <c r="P206" s="88"/>
      <c r="Q206" s="203"/>
      <c r="R206" s="203"/>
      <c r="S206" s="87"/>
      <c r="T206" s="87"/>
      <c r="U206" s="88"/>
      <c r="V206" s="203"/>
      <c r="W206" s="203"/>
      <c r="X206" s="201"/>
      <c r="Y206" s="201"/>
      <c r="Z206" s="87"/>
      <c r="AA206" s="224"/>
      <c r="AB206" s="201"/>
      <c r="AC206" s="335"/>
      <c r="AD206" s="224"/>
      <c r="AE206" s="88"/>
      <c r="AF206" s="88"/>
      <c r="AG206" s="86"/>
      <c r="AH206" s="86"/>
      <c r="AI206" s="89"/>
      <c r="AJ206" s="86"/>
      <c r="AK206" s="86"/>
      <c r="AL206" s="86"/>
      <c r="AM206" s="86"/>
      <c r="AN206" s="86"/>
      <c r="AO206" s="86"/>
      <c r="AP206" s="115"/>
      <c r="AQ206" s="116"/>
      <c r="AR206" s="116"/>
      <c r="AS206" s="136"/>
      <c r="AT206" s="116"/>
      <c r="AU206" s="86"/>
      <c r="AV206" s="86"/>
      <c r="AW206" s="86"/>
      <c r="AX206" s="86"/>
      <c r="AY206" s="86"/>
      <c r="AZ206" s="90"/>
      <c r="BA206" s="90"/>
      <c r="BB206" s="86"/>
      <c r="BC206" s="116"/>
      <c r="BD206" s="116"/>
      <c r="BE206" s="116"/>
      <c r="BF206" s="86"/>
      <c r="BG206" s="91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261"/>
      <c r="CG206" s="337"/>
    </row>
    <row r="207" spans="1:85" s="263" customFormat="1" ht="15" x14ac:dyDescent="0.2">
      <c r="A207" s="84"/>
      <c r="B207" s="85"/>
      <c r="C207" s="84"/>
      <c r="D207" s="88"/>
      <c r="E207" s="88"/>
      <c r="F207" s="201"/>
      <c r="G207" s="88"/>
      <c r="H207" s="216"/>
      <c r="I207" s="220"/>
      <c r="J207" s="202"/>
      <c r="K207" s="88"/>
      <c r="L207" s="203"/>
      <c r="M207" s="203"/>
      <c r="N207" s="201"/>
      <c r="O207" s="202"/>
      <c r="P207" s="88"/>
      <c r="Q207" s="203"/>
      <c r="R207" s="203"/>
      <c r="S207" s="87"/>
      <c r="T207" s="87"/>
      <c r="U207" s="88"/>
      <c r="V207" s="203"/>
      <c r="W207" s="203"/>
      <c r="X207" s="201"/>
      <c r="Y207" s="201"/>
      <c r="Z207" s="87"/>
      <c r="AA207" s="224"/>
      <c r="AB207" s="201"/>
      <c r="AC207" s="335"/>
      <c r="AD207" s="224"/>
      <c r="AE207" s="88"/>
      <c r="AF207" s="88"/>
      <c r="AG207" s="86"/>
      <c r="AH207" s="86"/>
      <c r="AI207" s="89"/>
      <c r="AJ207" s="86"/>
      <c r="AK207" s="86"/>
      <c r="AL207" s="86"/>
      <c r="AM207" s="86"/>
      <c r="AN207" s="86"/>
      <c r="AO207" s="86"/>
      <c r="AP207" s="115"/>
      <c r="AQ207" s="116"/>
      <c r="AR207" s="116"/>
      <c r="AS207" s="136"/>
      <c r="AT207" s="116"/>
      <c r="AU207" s="86"/>
      <c r="AV207" s="86"/>
      <c r="AW207" s="86"/>
      <c r="AX207" s="86"/>
      <c r="AY207" s="86"/>
      <c r="AZ207" s="90"/>
      <c r="BA207" s="90"/>
      <c r="BB207" s="86"/>
      <c r="BC207" s="116"/>
      <c r="BD207" s="116"/>
      <c r="BE207" s="116"/>
      <c r="BF207" s="86"/>
      <c r="BG207" s="91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261"/>
      <c r="CG207" s="337"/>
    </row>
    <row r="208" spans="1:85" s="263" customFormat="1" ht="15" x14ac:dyDescent="0.2">
      <c r="A208" s="84"/>
      <c r="B208" s="85"/>
      <c r="C208" s="84"/>
      <c r="D208" s="88"/>
      <c r="E208" s="88"/>
      <c r="F208" s="201"/>
      <c r="G208" s="88"/>
      <c r="H208" s="216"/>
      <c r="I208" s="220"/>
      <c r="J208" s="202"/>
      <c r="K208" s="88"/>
      <c r="L208" s="203"/>
      <c r="M208" s="203"/>
      <c r="N208" s="201"/>
      <c r="O208" s="202"/>
      <c r="P208" s="88"/>
      <c r="Q208" s="203"/>
      <c r="R208" s="203"/>
      <c r="S208" s="87"/>
      <c r="T208" s="87"/>
      <c r="U208" s="88"/>
      <c r="V208" s="203"/>
      <c r="W208" s="203"/>
      <c r="X208" s="201"/>
      <c r="Y208" s="201"/>
      <c r="Z208" s="87"/>
      <c r="AA208" s="224"/>
      <c r="AB208" s="201"/>
      <c r="AC208" s="335"/>
      <c r="AD208" s="224"/>
      <c r="AE208" s="88"/>
      <c r="AF208" s="88"/>
      <c r="AG208" s="86"/>
      <c r="AH208" s="86"/>
      <c r="AI208" s="89"/>
      <c r="AJ208" s="86"/>
      <c r="AK208" s="86"/>
      <c r="AL208" s="86"/>
      <c r="AM208" s="86"/>
      <c r="AN208" s="86"/>
      <c r="AO208" s="86"/>
      <c r="AP208" s="115"/>
      <c r="AQ208" s="116"/>
      <c r="AR208" s="116"/>
      <c r="AS208" s="136"/>
      <c r="AT208" s="116"/>
      <c r="AU208" s="86"/>
      <c r="AV208" s="86"/>
      <c r="AW208" s="86"/>
      <c r="AX208" s="86"/>
      <c r="AY208" s="86"/>
      <c r="AZ208" s="90"/>
      <c r="BA208" s="90"/>
      <c r="BB208" s="86"/>
      <c r="BC208" s="116"/>
      <c r="BD208" s="116"/>
      <c r="BE208" s="116"/>
      <c r="BF208" s="86"/>
      <c r="BG208" s="91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261"/>
      <c r="CG208" s="337"/>
    </row>
    <row r="209" spans="1:85" s="263" customFormat="1" ht="15.75" x14ac:dyDescent="0.2">
      <c r="A209" s="84"/>
      <c r="B209" s="85"/>
      <c r="C209" s="84"/>
      <c r="D209" s="88"/>
      <c r="E209" s="88"/>
      <c r="F209" s="201"/>
      <c r="G209" s="88"/>
      <c r="H209" s="216"/>
      <c r="I209" s="220"/>
      <c r="J209" s="202"/>
      <c r="K209" s="341"/>
      <c r="L209" s="203"/>
      <c r="M209" s="203"/>
      <c r="N209" s="201"/>
      <c r="O209" s="202"/>
      <c r="P209" s="88"/>
      <c r="Q209" s="203"/>
      <c r="R209" s="203"/>
      <c r="S209" s="87"/>
      <c r="T209" s="87"/>
      <c r="U209" s="88"/>
      <c r="V209" s="203"/>
      <c r="W209" s="203"/>
      <c r="X209" s="201"/>
      <c r="Y209" s="201"/>
      <c r="Z209" s="87"/>
      <c r="AA209" s="224"/>
      <c r="AB209" s="201"/>
      <c r="AC209" s="335"/>
      <c r="AD209" s="224"/>
      <c r="AE209" s="88"/>
      <c r="AF209" s="88"/>
      <c r="AG209" s="86"/>
      <c r="AH209" s="86"/>
      <c r="AI209" s="89"/>
      <c r="AJ209" s="86"/>
      <c r="AK209" s="86"/>
      <c r="AL209" s="86"/>
      <c r="AM209" s="86"/>
      <c r="AN209" s="86"/>
      <c r="AO209" s="86"/>
      <c r="AP209" s="115"/>
      <c r="AQ209" s="116"/>
      <c r="AR209" s="116"/>
      <c r="AS209" s="136"/>
      <c r="AT209" s="116"/>
      <c r="AU209" s="86"/>
      <c r="AV209" s="86"/>
      <c r="AW209" s="86"/>
      <c r="AX209" s="86"/>
      <c r="AY209" s="86"/>
      <c r="AZ209" s="90"/>
      <c r="BA209" s="90"/>
      <c r="BB209" s="86"/>
      <c r="BC209" s="116"/>
      <c r="BD209" s="116"/>
      <c r="BE209" s="116"/>
      <c r="BF209" s="86"/>
      <c r="BG209" s="91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261"/>
      <c r="CG209" s="337"/>
    </row>
    <row r="210" spans="1:85" s="263" customFormat="1" ht="15.75" x14ac:dyDescent="0.2">
      <c r="A210" s="84"/>
      <c r="B210" s="85"/>
      <c r="C210" s="84"/>
      <c r="D210" s="88"/>
      <c r="E210" s="88"/>
      <c r="F210" s="201"/>
      <c r="G210" s="88"/>
      <c r="H210" s="216"/>
      <c r="I210" s="220"/>
      <c r="J210" s="202"/>
      <c r="K210" s="344"/>
      <c r="L210" s="203"/>
      <c r="M210" s="203"/>
      <c r="N210" s="201"/>
      <c r="O210" s="202"/>
      <c r="P210" s="88"/>
      <c r="Q210" s="203"/>
      <c r="R210" s="203"/>
      <c r="S210" s="87"/>
      <c r="T210" s="87"/>
      <c r="U210" s="88"/>
      <c r="V210" s="203"/>
      <c r="W210" s="203"/>
      <c r="X210" s="201"/>
      <c r="Y210" s="201"/>
      <c r="Z210" s="87"/>
      <c r="AA210" s="224"/>
      <c r="AB210" s="201"/>
      <c r="AC210" s="335"/>
      <c r="AD210" s="224"/>
      <c r="AE210" s="88"/>
      <c r="AF210" s="88"/>
      <c r="AG210" s="86"/>
      <c r="AH210" s="86"/>
      <c r="AI210" s="89"/>
      <c r="AJ210" s="86"/>
      <c r="AK210" s="86"/>
      <c r="AL210" s="86"/>
      <c r="AM210" s="86"/>
      <c r="AN210" s="86"/>
      <c r="AO210" s="86"/>
      <c r="AP210" s="115"/>
      <c r="AQ210" s="116"/>
      <c r="AR210" s="116"/>
      <c r="AS210" s="136"/>
      <c r="AT210" s="116"/>
      <c r="AU210" s="86"/>
      <c r="AV210" s="86"/>
      <c r="AW210" s="86"/>
      <c r="AX210" s="86"/>
      <c r="AY210" s="86"/>
      <c r="AZ210" s="90"/>
      <c r="BA210" s="90"/>
      <c r="BB210" s="86"/>
      <c r="BC210" s="116"/>
      <c r="BD210" s="116"/>
      <c r="BE210" s="116"/>
      <c r="BF210" s="86"/>
      <c r="BG210" s="91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261"/>
      <c r="CG210" s="337"/>
    </row>
    <row r="211" spans="1:85" s="263" customFormat="1" ht="15" x14ac:dyDescent="0.2">
      <c r="A211" s="84"/>
      <c r="B211" s="85"/>
      <c r="C211" s="84"/>
      <c r="D211" s="88"/>
      <c r="E211" s="88"/>
      <c r="F211" s="201"/>
      <c r="G211" s="88"/>
      <c r="H211" s="216"/>
      <c r="I211" s="220"/>
      <c r="J211" s="202"/>
      <c r="K211" s="88"/>
      <c r="L211" s="203"/>
      <c r="M211" s="203"/>
      <c r="N211" s="201"/>
      <c r="O211" s="202"/>
      <c r="P211" s="88"/>
      <c r="Q211" s="203"/>
      <c r="R211" s="203"/>
      <c r="S211" s="87"/>
      <c r="T211" s="87"/>
      <c r="U211" s="88"/>
      <c r="V211" s="203"/>
      <c r="W211" s="203"/>
      <c r="X211" s="201"/>
      <c r="Y211" s="201"/>
      <c r="Z211" s="87"/>
      <c r="AA211" s="224"/>
      <c r="AB211" s="201"/>
      <c r="AC211" s="335"/>
      <c r="AD211" s="224"/>
      <c r="AE211" s="88"/>
      <c r="AF211" s="88"/>
      <c r="AG211" s="86"/>
      <c r="AH211" s="86"/>
      <c r="AI211" s="89"/>
      <c r="AJ211" s="86"/>
      <c r="AK211" s="86"/>
      <c r="AL211" s="86"/>
      <c r="AM211" s="86"/>
      <c r="AN211" s="86"/>
      <c r="AO211" s="86"/>
      <c r="AP211" s="115"/>
      <c r="AQ211" s="116"/>
      <c r="AR211" s="116"/>
      <c r="AS211" s="136"/>
      <c r="AT211" s="116"/>
      <c r="AU211" s="86"/>
      <c r="AV211" s="86"/>
      <c r="AW211" s="86"/>
      <c r="AX211" s="86"/>
      <c r="AY211" s="86"/>
      <c r="AZ211" s="90"/>
      <c r="BA211" s="90"/>
      <c r="BB211" s="86"/>
      <c r="BC211" s="116"/>
      <c r="BD211" s="116"/>
      <c r="BE211" s="116"/>
      <c r="BF211" s="86"/>
      <c r="BG211" s="91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261"/>
      <c r="CG211" s="337"/>
    </row>
    <row r="212" spans="1:85" s="263" customFormat="1" ht="15" x14ac:dyDescent="0.2">
      <c r="A212" s="84"/>
      <c r="B212" s="85"/>
      <c r="C212" s="84"/>
      <c r="D212" s="88"/>
      <c r="E212" s="88"/>
      <c r="F212" s="201"/>
      <c r="G212" s="88"/>
      <c r="H212" s="216"/>
      <c r="I212" s="220"/>
      <c r="J212" s="202"/>
      <c r="K212" s="88"/>
      <c r="L212" s="203"/>
      <c r="M212" s="203"/>
      <c r="N212" s="201"/>
      <c r="O212" s="202"/>
      <c r="P212" s="88"/>
      <c r="Q212" s="203"/>
      <c r="R212" s="203"/>
      <c r="S212" s="87"/>
      <c r="T212" s="87"/>
      <c r="U212" s="88"/>
      <c r="V212" s="203"/>
      <c r="W212" s="203"/>
      <c r="X212" s="201"/>
      <c r="Y212" s="201"/>
      <c r="Z212" s="87"/>
      <c r="AA212" s="224"/>
      <c r="AB212" s="201"/>
      <c r="AC212" s="335"/>
      <c r="AD212" s="224"/>
      <c r="AE212" s="88"/>
      <c r="AF212" s="88"/>
      <c r="AG212" s="86"/>
      <c r="AH212" s="86"/>
      <c r="AI212" s="89"/>
      <c r="AJ212" s="86"/>
      <c r="AK212" s="86"/>
      <c r="AL212" s="86"/>
      <c r="AM212" s="86"/>
      <c r="AN212" s="86"/>
      <c r="AO212" s="86"/>
      <c r="AP212" s="115"/>
      <c r="AQ212" s="116"/>
      <c r="AR212" s="116"/>
      <c r="AS212" s="136"/>
      <c r="AT212" s="116"/>
      <c r="AU212" s="86"/>
      <c r="AV212" s="86"/>
      <c r="AW212" s="86"/>
      <c r="AX212" s="86"/>
      <c r="AY212" s="86"/>
      <c r="AZ212" s="90"/>
      <c r="BA212" s="90"/>
      <c r="BB212" s="86"/>
      <c r="BC212" s="116"/>
      <c r="BD212" s="116"/>
      <c r="BE212" s="116"/>
      <c r="BF212" s="86"/>
      <c r="BG212" s="91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261"/>
      <c r="CG212" s="337"/>
    </row>
    <row r="213" spans="1:85" s="263" customFormat="1" ht="15" x14ac:dyDescent="0.2">
      <c r="A213" s="84"/>
      <c r="B213" s="85"/>
      <c r="C213" s="84"/>
      <c r="D213" s="88"/>
      <c r="E213" s="88"/>
      <c r="F213" s="201"/>
      <c r="G213" s="88"/>
      <c r="H213" s="216"/>
      <c r="I213" s="220"/>
      <c r="J213" s="202"/>
      <c r="K213" s="88"/>
      <c r="L213" s="203"/>
      <c r="M213" s="203"/>
      <c r="N213" s="201"/>
      <c r="O213" s="202"/>
      <c r="P213" s="88"/>
      <c r="Q213" s="203"/>
      <c r="R213" s="203"/>
      <c r="S213" s="87"/>
      <c r="T213" s="87"/>
      <c r="U213" s="88"/>
      <c r="V213" s="203"/>
      <c r="W213" s="203"/>
      <c r="X213" s="201"/>
      <c r="Y213" s="201"/>
      <c r="Z213" s="87"/>
      <c r="AA213" s="224"/>
      <c r="AB213" s="201"/>
      <c r="AC213" s="335"/>
      <c r="AD213" s="224"/>
      <c r="AE213" s="88"/>
      <c r="AF213" s="88"/>
      <c r="AG213" s="86"/>
      <c r="AH213" s="86"/>
      <c r="AI213" s="89"/>
      <c r="AJ213" s="86"/>
      <c r="AK213" s="86"/>
      <c r="AL213" s="86"/>
      <c r="AM213" s="86"/>
      <c r="AN213" s="86"/>
      <c r="AO213" s="86"/>
      <c r="AP213" s="115"/>
      <c r="AQ213" s="116"/>
      <c r="AR213" s="116"/>
      <c r="AS213" s="136"/>
      <c r="AT213" s="116"/>
      <c r="AU213" s="86"/>
      <c r="AV213" s="86"/>
      <c r="AW213" s="86"/>
      <c r="AX213" s="86"/>
      <c r="AY213" s="86"/>
      <c r="AZ213" s="90"/>
      <c r="BA213" s="90"/>
      <c r="BB213" s="86"/>
      <c r="BC213" s="116"/>
      <c r="BD213" s="116"/>
      <c r="BE213" s="116"/>
      <c r="BF213" s="86"/>
      <c r="BG213" s="91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261"/>
      <c r="CG213" s="337"/>
    </row>
    <row r="214" spans="1:85" s="263" customFormat="1" ht="15" x14ac:dyDescent="0.2">
      <c r="A214" s="84"/>
      <c r="B214" s="85"/>
      <c r="C214" s="84"/>
      <c r="D214" s="88"/>
      <c r="E214" s="88"/>
      <c r="F214" s="201"/>
      <c r="G214" s="88"/>
      <c r="H214" s="216"/>
      <c r="I214" s="220"/>
      <c r="J214" s="202"/>
      <c r="K214" s="88"/>
      <c r="L214" s="203"/>
      <c r="M214" s="203"/>
      <c r="N214" s="201"/>
      <c r="O214" s="202"/>
      <c r="P214" s="88"/>
      <c r="Q214" s="203"/>
      <c r="R214" s="203"/>
      <c r="S214" s="87"/>
      <c r="T214" s="87"/>
      <c r="U214" s="88"/>
      <c r="V214" s="203"/>
      <c r="W214" s="203"/>
      <c r="X214" s="201"/>
      <c r="Y214" s="201"/>
      <c r="Z214" s="87"/>
      <c r="AA214" s="224"/>
      <c r="AB214" s="201"/>
      <c r="AC214" s="335"/>
      <c r="AD214" s="224"/>
      <c r="AE214" s="88"/>
      <c r="AF214" s="88"/>
      <c r="AG214" s="86"/>
      <c r="AH214" s="86"/>
      <c r="AI214" s="89"/>
      <c r="AJ214" s="86"/>
      <c r="AK214" s="86"/>
      <c r="AL214" s="86"/>
      <c r="AM214" s="86"/>
      <c r="AN214" s="86"/>
      <c r="AO214" s="86"/>
      <c r="AP214" s="115"/>
      <c r="AQ214" s="116"/>
      <c r="AR214" s="116"/>
      <c r="AS214" s="136"/>
      <c r="AT214" s="116"/>
      <c r="AU214" s="86"/>
      <c r="AV214" s="86"/>
      <c r="AW214" s="86"/>
      <c r="AX214" s="86"/>
      <c r="AY214" s="86"/>
      <c r="AZ214" s="90"/>
      <c r="BA214" s="90"/>
      <c r="BB214" s="86"/>
      <c r="BC214" s="116"/>
      <c r="BD214" s="116"/>
      <c r="BE214" s="116"/>
      <c r="BF214" s="86"/>
      <c r="BG214" s="91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261"/>
      <c r="CG214" s="337"/>
    </row>
    <row r="215" spans="1:85" s="263" customFormat="1" ht="15" x14ac:dyDescent="0.2">
      <c r="A215" s="84"/>
      <c r="B215" s="85"/>
      <c r="C215" s="84"/>
      <c r="D215" s="88"/>
      <c r="E215" s="88"/>
      <c r="F215" s="201"/>
      <c r="G215" s="88"/>
      <c r="H215" s="216"/>
      <c r="I215" s="220"/>
      <c r="J215" s="202"/>
      <c r="K215" s="88"/>
      <c r="L215" s="203"/>
      <c r="M215" s="203"/>
      <c r="N215" s="201"/>
      <c r="O215" s="202"/>
      <c r="P215" s="88"/>
      <c r="Q215" s="203"/>
      <c r="R215" s="203"/>
      <c r="S215" s="87"/>
      <c r="T215" s="87"/>
      <c r="U215" s="88"/>
      <c r="V215" s="203"/>
      <c r="W215" s="203"/>
      <c r="X215" s="201"/>
      <c r="Y215" s="201"/>
      <c r="Z215" s="87"/>
      <c r="AA215" s="224"/>
      <c r="AB215" s="201"/>
      <c r="AC215" s="335"/>
      <c r="AD215" s="224"/>
      <c r="AE215" s="88"/>
      <c r="AF215" s="88"/>
      <c r="AG215" s="86"/>
      <c r="AH215" s="86"/>
      <c r="AI215" s="89"/>
      <c r="AJ215" s="86"/>
      <c r="AK215" s="86"/>
      <c r="AL215" s="86"/>
      <c r="AM215" s="86"/>
      <c r="AN215" s="86"/>
      <c r="AO215" s="86"/>
      <c r="AP215" s="115"/>
      <c r="AQ215" s="116"/>
      <c r="AR215" s="116"/>
      <c r="AS215" s="136"/>
      <c r="AT215" s="116"/>
      <c r="AU215" s="86"/>
      <c r="AV215" s="86"/>
      <c r="AW215" s="86"/>
      <c r="AX215" s="86"/>
      <c r="AY215" s="86"/>
      <c r="AZ215" s="90"/>
      <c r="BA215" s="90"/>
      <c r="BB215" s="86"/>
      <c r="BC215" s="116"/>
      <c r="BD215" s="116"/>
      <c r="BE215" s="116"/>
      <c r="BF215" s="86"/>
      <c r="BG215" s="91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261"/>
      <c r="CG215" s="337"/>
    </row>
    <row r="216" spans="1:85" s="263" customFormat="1" ht="15" x14ac:dyDescent="0.2">
      <c r="A216" s="84"/>
      <c r="B216" s="85"/>
      <c r="C216" s="84"/>
      <c r="D216" s="88"/>
      <c r="E216" s="88"/>
      <c r="F216" s="201"/>
      <c r="G216" s="88"/>
      <c r="H216" s="216"/>
      <c r="I216" s="220"/>
      <c r="J216" s="202"/>
      <c r="K216" s="88"/>
      <c r="L216" s="203"/>
      <c r="M216" s="203"/>
      <c r="N216" s="201"/>
      <c r="O216" s="202"/>
      <c r="P216" s="88"/>
      <c r="Q216" s="203"/>
      <c r="R216" s="203"/>
      <c r="S216" s="87"/>
      <c r="T216" s="87"/>
      <c r="U216" s="88"/>
      <c r="V216" s="203"/>
      <c r="W216" s="203"/>
      <c r="X216" s="201"/>
      <c r="Y216" s="201"/>
      <c r="Z216" s="87"/>
      <c r="AA216" s="224"/>
      <c r="AB216" s="201"/>
      <c r="AC216" s="335"/>
      <c r="AD216" s="224"/>
      <c r="AE216" s="88"/>
      <c r="AF216" s="88"/>
      <c r="AG216" s="86"/>
      <c r="AH216" s="86"/>
      <c r="AI216" s="89"/>
      <c r="AJ216" s="86"/>
      <c r="AK216" s="86"/>
      <c r="AL216" s="86"/>
      <c r="AM216" s="86"/>
      <c r="AN216" s="86"/>
      <c r="AO216" s="86"/>
      <c r="AP216" s="115"/>
      <c r="AQ216" s="116"/>
      <c r="AR216" s="116"/>
      <c r="AS216" s="136"/>
      <c r="AT216" s="116"/>
      <c r="AU216" s="86"/>
      <c r="AV216" s="86"/>
      <c r="AW216" s="86"/>
      <c r="AX216" s="86"/>
      <c r="AY216" s="86"/>
      <c r="AZ216" s="90"/>
      <c r="BA216" s="90"/>
      <c r="BB216" s="86"/>
      <c r="BC216" s="116"/>
      <c r="BD216" s="116"/>
      <c r="BE216" s="116"/>
      <c r="BF216" s="86"/>
      <c r="BG216" s="91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261"/>
      <c r="CG216" s="337"/>
    </row>
    <row r="217" spans="1:85" s="263" customFormat="1" ht="15" x14ac:dyDescent="0.2">
      <c r="A217" s="84"/>
      <c r="B217" s="85"/>
      <c r="C217" s="84"/>
      <c r="D217" s="88"/>
      <c r="E217" s="88"/>
      <c r="F217" s="201"/>
      <c r="G217" s="88"/>
      <c r="H217" s="216"/>
      <c r="I217" s="220"/>
      <c r="J217" s="202"/>
      <c r="K217" s="88"/>
      <c r="L217" s="203"/>
      <c r="M217" s="203"/>
      <c r="N217" s="201"/>
      <c r="O217" s="202"/>
      <c r="P217" s="88"/>
      <c r="Q217" s="203"/>
      <c r="R217" s="203"/>
      <c r="S217" s="87"/>
      <c r="T217" s="87"/>
      <c r="U217" s="88"/>
      <c r="V217" s="203"/>
      <c r="W217" s="203"/>
      <c r="X217" s="201"/>
      <c r="Y217" s="201"/>
      <c r="Z217" s="87"/>
      <c r="AA217" s="224"/>
      <c r="AB217" s="201"/>
      <c r="AC217" s="335"/>
      <c r="AD217" s="224"/>
      <c r="AE217" s="88"/>
      <c r="AF217" s="88"/>
      <c r="AG217" s="86"/>
      <c r="AH217" s="86"/>
      <c r="AI217" s="89"/>
      <c r="AJ217" s="86"/>
      <c r="AK217" s="86"/>
      <c r="AL217" s="86"/>
      <c r="AM217" s="86"/>
      <c r="AN217" s="86"/>
      <c r="AO217" s="86"/>
      <c r="AP217" s="115"/>
      <c r="AQ217" s="116"/>
      <c r="AR217" s="116"/>
      <c r="AS217" s="136"/>
      <c r="AT217" s="116"/>
      <c r="AU217" s="86"/>
      <c r="AV217" s="86"/>
      <c r="AW217" s="86"/>
      <c r="AX217" s="86"/>
      <c r="AY217" s="86"/>
      <c r="AZ217" s="90"/>
      <c r="BA217" s="90"/>
      <c r="BB217" s="86"/>
      <c r="BC217" s="116"/>
      <c r="BD217" s="116"/>
      <c r="BE217" s="116"/>
      <c r="BF217" s="86"/>
      <c r="BG217" s="91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261"/>
      <c r="CG217" s="337"/>
    </row>
    <row r="218" spans="1:85" s="263" customFormat="1" ht="15" x14ac:dyDescent="0.2">
      <c r="A218" s="84"/>
      <c r="B218" s="85"/>
      <c r="C218" s="84"/>
      <c r="D218" s="88"/>
      <c r="E218" s="88"/>
      <c r="F218" s="201"/>
      <c r="G218" s="88"/>
      <c r="H218" s="216"/>
      <c r="I218" s="220"/>
      <c r="J218" s="202"/>
      <c r="K218" s="88"/>
      <c r="L218" s="203"/>
      <c r="M218" s="203"/>
      <c r="N218" s="201"/>
      <c r="O218" s="202"/>
      <c r="P218" s="88"/>
      <c r="Q218" s="203"/>
      <c r="R218" s="203"/>
      <c r="S218" s="87"/>
      <c r="T218" s="87"/>
      <c r="U218" s="88"/>
      <c r="V218" s="203"/>
      <c r="W218" s="203"/>
      <c r="X218" s="201"/>
      <c r="Y218" s="201"/>
      <c r="Z218" s="87"/>
      <c r="AA218" s="224"/>
      <c r="AB218" s="201"/>
      <c r="AC218" s="335"/>
      <c r="AD218" s="224"/>
      <c r="AE218" s="88"/>
      <c r="AF218" s="88"/>
      <c r="AG218" s="86"/>
      <c r="AH218" s="86"/>
      <c r="AI218" s="89"/>
      <c r="AJ218" s="86"/>
      <c r="AK218" s="86"/>
      <c r="AL218" s="86"/>
      <c r="AM218" s="86"/>
      <c r="AN218" s="86"/>
      <c r="AO218" s="86"/>
      <c r="AP218" s="115"/>
      <c r="AQ218" s="116"/>
      <c r="AR218" s="116"/>
      <c r="AS218" s="136"/>
      <c r="AT218" s="116"/>
      <c r="AU218" s="86"/>
      <c r="AV218" s="86"/>
      <c r="AW218" s="86"/>
      <c r="AX218" s="86"/>
      <c r="AY218" s="86"/>
      <c r="AZ218" s="90"/>
      <c r="BA218" s="90"/>
      <c r="BB218" s="86"/>
      <c r="BC218" s="116"/>
      <c r="BD218" s="116"/>
      <c r="BE218" s="116"/>
      <c r="BF218" s="86"/>
      <c r="BG218" s="91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261"/>
      <c r="CG218" s="337"/>
    </row>
    <row r="219" spans="1:85" s="263" customFormat="1" ht="15" x14ac:dyDescent="0.2">
      <c r="A219" s="84"/>
      <c r="B219" s="85"/>
      <c r="C219" s="84"/>
      <c r="D219" s="88"/>
      <c r="E219" s="88"/>
      <c r="F219" s="201"/>
      <c r="G219" s="88"/>
      <c r="H219" s="216"/>
      <c r="I219" s="220"/>
      <c r="J219" s="202"/>
      <c r="K219" s="88"/>
      <c r="L219" s="203"/>
      <c r="M219" s="203"/>
      <c r="N219" s="201"/>
      <c r="O219" s="202"/>
      <c r="P219" s="88"/>
      <c r="Q219" s="203"/>
      <c r="R219" s="203"/>
      <c r="S219" s="87"/>
      <c r="T219" s="87"/>
      <c r="U219" s="88"/>
      <c r="V219" s="203"/>
      <c r="W219" s="203"/>
      <c r="X219" s="201"/>
      <c r="Y219" s="201"/>
      <c r="Z219" s="87"/>
      <c r="AA219" s="224"/>
      <c r="AB219" s="201"/>
      <c r="AC219" s="335"/>
      <c r="AD219" s="224"/>
      <c r="AE219" s="88"/>
      <c r="AF219" s="88"/>
      <c r="AG219" s="86"/>
      <c r="AH219" s="86"/>
      <c r="AI219" s="89"/>
      <c r="AJ219" s="86"/>
      <c r="AK219" s="86"/>
      <c r="AL219" s="86"/>
      <c r="AM219" s="86"/>
      <c r="AN219" s="86"/>
      <c r="AO219" s="86"/>
      <c r="AP219" s="115"/>
      <c r="AQ219" s="116"/>
      <c r="AR219" s="116"/>
      <c r="AS219" s="136"/>
      <c r="AT219" s="116"/>
      <c r="AU219" s="86"/>
      <c r="AV219" s="86"/>
      <c r="AW219" s="86"/>
      <c r="AX219" s="86"/>
      <c r="AY219" s="86"/>
      <c r="AZ219" s="90"/>
      <c r="BA219" s="90"/>
      <c r="BB219" s="86"/>
      <c r="BC219" s="116"/>
      <c r="BD219" s="116"/>
      <c r="BE219" s="116"/>
      <c r="BF219" s="86"/>
      <c r="BG219" s="91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261"/>
      <c r="CG219" s="337"/>
    </row>
    <row r="220" spans="1:85" s="263" customFormat="1" ht="15" x14ac:dyDescent="0.2">
      <c r="A220" s="84"/>
      <c r="B220" s="85"/>
      <c r="C220" s="84"/>
      <c r="D220" s="88"/>
      <c r="E220" s="88"/>
      <c r="F220" s="201"/>
      <c r="G220" s="88"/>
      <c r="H220" s="216"/>
      <c r="I220" s="220"/>
      <c r="J220" s="202"/>
      <c r="K220" s="88"/>
      <c r="L220" s="203"/>
      <c r="M220" s="203"/>
      <c r="N220" s="201"/>
      <c r="O220" s="202"/>
      <c r="P220" s="88"/>
      <c r="Q220" s="203"/>
      <c r="R220" s="203"/>
      <c r="S220" s="87"/>
      <c r="T220" s="87"/>
      <c r="U220" s="88"/>
      <c r="V220" s="203"/>
      <c r="W220" s="203"/>
      <c r="X220" s="201"/>
      <c r="Y220" s="201"/>
      <c r="Z220" s="87"/>
      <c r="AA220" s="224"/>
      <c r="AB220" s="201"/>
      <c r="AC220" s="335"/>
      <c r="AD220" s="224"/>
      <c r="AE220" s="88"/>
      <c r="AF220" s="88"/>
      <c r="AG220" s="86"/>
      <c r="AH220" s="86"/>
      <c r="AI220" s="89"/>
      <c r="AJ220" s="86"/>
      <c r="AK220" s="86"/>
      <c r="AL220" s="86"/>
      <c r="AM220" s="86"/>
      <c r="AN220" s="86"/>
      <c r="AO220" s="86"/>
      <c r="AP220" s="115"/>
      <c r="AQ220" s="116"/>
      <c r="AR220" s="116"/>
      <c r="AS220" s="136"/>
      <c r="AT220" s="116"/>
      <c r="AU220" s="86"/>
      <c r="AV220" s="86"/>
      <c r="AW220" s="86"/>
      <c r="AX220" s="86"/>
      <c r="AY220" s="86"/>
      <c r="AZ220" s="90"/>
      <c r="BA220" s="90"/>
      <c r="BB220" s="86"/>
      <c r="BC220" s="116"/>
      <c r="BD220" s="116"/>
      <c r="BE220" s="116"/>
      <c r="BF220" s="86"/>
      <c r="BG220" s="91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261"/>
      <c r="CG220" s="337"/>
    </row>
    <row r="221" spans="1:85" s="263" customFormat="1" ht="15" x14ac:dyDescent="0.2">
      <c r="A221" s="84"/>
      <c r="B221" s="85"/>
      <c r="C221" s="84"/>
      <c r="D221" s="88"/>
      <c r="E221" s="88"/>
      <c r="F221" s="201"/>
      <c r="G221" s="88"/>
      <c r="H221" s="216"/>
      <c r="I221" s="220"/>
      <c r="J221" s="202"/>
      <c r="K221" s="88"/>
      <c r="L221" s="203"/>
      <c r="M221" s="203"/>
      <c r="N221" s="201"/>
      <c r="O221" s="202"/>
      <c r="P221" s="88"/>
      <c r="Q221" s="203"/>
      <c r="R221" s="203"/>
      <c r="S221" s="87"/>
      <c r="T221" s="87"/>
      <c r="U221" s="88"/>
      <c r="V221" s="203"/>
      <c r="W221" s="203"/>
      <c r="X221" s="201"/>
      <c r="Y221" s="201"/>
      <c r="Z221" s="87"/>
      <c r="AA221" s="224"/>
      <c r="AB221" s="201"/>
      <c r="AC221" s="335"/>
      <c r="AD221" s="224"/>
      <c r="AE221" s="88"/>
      <c r="AF221" s="88"/>
      <c r="AG221" s="86"/>
      <c r="AH221" s="86"/>
      <c r="AI221" s="89"/>
      <c r="AJ221" s="86"/>
      <c r="AK221" s="86"/>
      <c r="AL221" s="86"/>
      <c r="AM221" s="86"/>
      <c r="AN221" s="86"/>
      <c r="AO221" s="86"/>
      <c r="AP221" s="115"/>
      <c r="AQ221" s="116"/>
      <c r="AR221" s="116"/>
      <c r="AS221" s="136"/>
      <c r="AT221" s="116"/>
      <c r="AU221" s="86"/>
      <c r="AV221" s="86"/>
      <c r="AW221" s="86"/>
      <c r="AX221" s="86"/>
      <c r="AY221" s="86"/>
      <c r="AZ221" s="90"/>
      <c r="BA221" s="90"/>
      <c r="BB221" s="86"/>
      <c r="BC221" s="116"/>
      <c r="BD221" s="116"/>
      <c r="BE221" s="116"/>
      <c r="BF221" s="86"/>
      <c r="BG221" s="91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261"/>
      <c r="CG221" s="337"/>
    </row>
    <row r="222" spans="1:85" s="263" customFormat="1" ht="15" x14ac:dyDescent="0.2">
      <c r="A222" s="84"/>
      <c r="B222" s="85"/>
      <c r="C222" s="84"/>
      <c r="D222" s="88"/>
      <c r="E222" s="88"/>
      <c r="F222" s="201"/>
      <c r="G222" s="88"/>
      <c r="H222" s="216"/>
      <c r="I222" s="220"/>
      <c r="J222" s="202"/>
      <c r="K222" s="88"/>
      <c r="L222" s="203"/>
      <c r="M222" s="203"/>
      <c r="N222" s="201"/>
      <c r="O222" s="202"/>
      <c r="P222" s="88"/>
      <c r="Q222" s="203"/>
      <c r="R222" s="203"/>
      <c r="S222" s="87"/>
      <c r="T222" s="87"/>
      <c r="U222" s="88"/>
      <c r="V222" s="203"/>
      <c r="W222" s="203"/>
      <c r="X222" s="201"/>
      <c r="Y222" s="201"/>
      <c r="Z222" s="87"/>
      <c r="AA222" s="224"/>
      <c r="AB222" s="201"/>
      <c r="AC222" s="335"/>
      <c r="AD222" s="224"/>
      <c r="AE222" s="88"/>
      <c r="AF222" s="88"/>
      <c r="AG222" s="86"/>
      <c r="AH222" s="86"/>
      <c r="AI222" s="89"/>
      <c r="AJ222" s="86"/>
      <c r="AK222" s="86"/>
      <c r="AL222" s="86"/>
      <c r="AM222" s="86"/>
      <c r="AN222" s="86"/>
      <c r="AO222" s="86"/>
      <c r="AP222" s="115"/>
      <c r="AQ222" s="116"/>
      <c r="AR222" s="116"/>
      <c r="AS222" s="136"/>
      <c r="AT222" s="116"/>
      <c r="AU222" s="86"/>
      <c r="AV222" s="86"/>
      <c r="AW222" s="86"/>
      <c r="AX222" s="86"/>
      <c r="AY222" s="86"/>
      <c r="AZ222" s="90"/>
      <c r="BA222" s="90"/>
      <c r="BB222" s="86"/>
      <c r="BC222" s="116"/>
      <c r="BD222" s="116"/>
      <c r="BE222" s="116"/>
      <c r="BF222" s="86"/>
      <c r="BG222" s="91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261"/>
      <c r="CG222" s="337"/>
    </row>
    <row r="223" spans="1:85" s="263" customFormat="1" ht="15" x14ac:dyDescent="0.2">
      <c r="A223" s="84"/>
      <c r="B223" s="85"/>
      <c r="C223" s="84"/>
      <c r="D223" s="88"/>
      <c r="E223" s="88"/>
      <c r="F223" s="201"/>
      <c r="G223" s="88"/>
      <c r="H223" s="216"/>
      <c r="I223" s="220"/>
      <c r="J223" s="202"/>
      <c r="K223" s="88"/>
      <c r="L223" s="203"/>
      <c r="M223" s="203"/>
      <c r="N223" s="201"/>
      <c r="O223" s="202"/>
      <c r="P223" s="88"/>
      <c r="Q223" s="203"/>
      <c r="R223" s="203"/>
      <c r="S223" s="87"/>
      <c r="T223" s="87"/>
      <c r="U223" s="88"/>
      <c r="V223" s="203"/>
      <c r="W223" s="203"/>
      <c r="X223" s="201"/>
      <c r="Y223" s="201"/>
      <c r="Z223" s="87"/>
      <c r="AA223" s="224"/>
      <c r="AB223" s="201"/>
      <c r="AC223" s="335"/>
      <c r="AD223" s="224"/>
      <c r="AE223" s="88"/>
      <c r="AF223" s="88"/>
      <c r="AG223" s="86"/>
      <c r="AH223" s="86"/>
      <c r="AI223" s="89"/>
      <c r="AJ223" s="86"/>
      <c r="AK223" s="86"/>
      <c r="AL223" s="86"/>
      <c r="AM223" s="86"/>
      <c r="AN223" s="86"/>
      <c r="AO223" s="86"/>
      <c r="AP223" s="115"/>
      <c r="AQ223" s="116"/>
      <c r="AR223" s="116"/>
      <c r="AS223" s="136"/>
      <c r="AT223" s="116"/>
      <c r="AU223" s="86"/>
      <c r="AV223" s="86"/>
      <c r="AW223" s="86"/>
      <c r="AX223" s="86"/>
      <c r="AY223" s="86"/>
      <c r="AZ223" s="90"/>
      <c r="BA223" s="90"/>
      <c r="BB223" s="86"/>
      <c r="BC223" s="116"/>
      <c r="BD223" s="116"/>
      <c r="BE223" s="116"/>
      <c r="BF223" s="86"/>
      <c r="BG223" s="91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261"/>
      <c r="CG223" s="337"/>
    </row>
    <row r="224" spans="1:85" s="263" customFormat="1" ht="15" x14ac:dyDescent="0.2">
      <c r="A224" s="84"/>
      <c r="B224" s="85"/>
      <c r="C224" s="84"/>
      <c r="D224" s="88"/>
      <c r="E224" s="88"/>
      <c r="F224" s="201"/>
      <c r="G224" s="88"/>
      <c r="H224" s="216"/>
      <c r="I224" s="220"/>
      <c r="J224" s="202"/>
      <c r="K224" s="88"/>
      <c r="L224" s="203"/>
      <c r="M224" s="203"/>
      <c r="N224" s="201"/>
      <c r="O224" s="202"/>
      <c r="P224" s="88"/>
      <c r="Q224" s="203"/>
      <c r="R224" s="203"/>
      <c r="S224" s="87"/>
      <c r="T224" s="87"/>
      <c r="U224" s="88"/>
      <c r="V224" s="203"/>
      <c r="W224" s="203"/>
      <c r="X224" s="201"/>
      <c r="Y224" s="201"/>
      <c r="Z224" s="87"/>
      <c r="AA224" s="224"/>
      <c r="AB224" s="201"/>
      <c r="AC224" s="335"/>
      <c r="AD224" s="224"/>
      <c r="AE224" s="88"/>
      <c r="AF224" s="88"/>
      <c r="AG224" s="86"/>
      <c r="AH224" s="86"/>
      <c r="AI224" s="89"/>
      <c r="AJ224" s="86"/>
      <c r="AK224" s="86"/>
      <c r="AL224" s="86"/>
      <c r="AM224" s="86"/>
      <c r="AN224" s="86"/>
      <c r="AO224" s="86"/>
      <c r="AP224" s="115"/>
      <c r="AQ224" s="116"/>
      <c r="AR224" s="116"/>
      <c r="AS224" s="136"/>
      <c r="AT224" s="116"/>
      <c r="AU224" s="86"/>
      <c r="AV224" s="86"/>
      <c r="AW224" s="86"/>
      <c r="AX224" s="86"/>
      <c r="AY224" s="86"/>
      <c r="AZ224" s="90"/>
      <c r="BA224" s="90"/>
      <c r="BB224" s="86"/>
      <c r="BC224" s="116"/>
      <c r="BD224" s="116"/>
      <c r="BE224" s="116"/>
      <c r="BF224" s="86"/>
      <c r="BG224" s="91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261"/>
      <c r="CG224" s="337"/>
    </row>
    <row r="225" spans="1:85" s="263" customFormat="1" ht="15" x14ac:dyDescent="0.2">
      <c r="A225" s="84"/>
      <c r="B225" s="85"/>
      <c r="C225" s="84"/>
      <c r="D225" s="88"/>
      <c r="E225" s="88"/>
      <c r="F225" s="201"/>
      <c r="G225" s="88"/>
      <c r="H225" s="216"/>
      <c r="I225" s="220"/>
      <c r="J225" s="202"/>
      <c r="K225" s="88"/>
      <c r="L225" s="203"/>
      <c r="M225" s="203"/>
      <c r="N225" s="201"/>
      <c r="O225" s="202"/>
      <c r="P225" s="88"/>
      <c r="Q225" s="203"/>
      <c r="R225" s="203"/>
      <c r="S225" s="87"/>
      <c r="T225" s="87"/>
      <c r="U225" s="88"/>
      <c r="V225" s="203"/>
      <c r="W225" s="203"/>
      <c r="X225" s="201"/>
      <c r="Y225" s="201"/>
      <c r="Z225" s="87"/>
      <c r="AA225" s="224"/>
      <c r="AB225" s="201"/>
      <c r="AC225" s="335"/>
      <c r="AD225" s="224"/>
      <c r="AE225" s="88"/>
      <c r="AF225" s="88"/>
      <c r="AG225" s="86"/>
      <c r="AH225" s="86"/>
      <c r="AI225" s="89"/>
      <c r="AJ225" s="86"/>
      <c r="AK225" s="86"/>
      <c r="AL225" s="86"/>
      <c r="AM225" s="86"/>
      <c r="AN225" s="86"/>
      <c r="AO225" s="86"/>
      <c r="AP225" s="115"/>
      <c r="AQ225" s="116"/>
      <c r="AR225" s="116"/>
      <c r="AS225" s="136"/>
      <c r="AT225" s="116"/>
      <c r="AU225" s="86"/>
      <c r="AV225" s="86"/>
      <c r="AW225" s="86"/>
      <c r="AX225" s="86"/>
      <c r="AY225" s="86"/>
      <c r="AZ225" s="90"/>
      <c r="BA225" s="90"/>
      <c r="BB225" s="86"/>
      <c r="BC225" s="116"/>
      <c r="BD225" s="116"/>
      <c r="BE225" s="116"/>
      <c r="BF225" s="86"/>
      <c r="BG225" s="91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261"/>
      <c r="CG225" s="337"/>
    </row>
    <row r="226" spans="1:85" s="263" customFormat="1" ht="15" x14ac:dyDescent="0.2">
      <c r="A226" s="84"/>
      <c r="B226" s="85"/>
      <c r="C226" s="84"/>
      <c r="D226" s="88"/>
      <c r="E226" s="88"/>
      <c r="F226" s="201"/>
      <c r="G226" s="88"/>
      <c r="H226" s="216"/>
      <c r="I226" s="220"/>
      <c r="J226" s="202"/>
      <c r="K226" s="88"/>
      <c r="L226" s="203"/>
      <c r="M226" s="203"/>
      <c r="N226" s="201"/>
      <c r="O226" s="202"/>
      <c r="P226" s="88"/>
      <c r="Q226" s="203"/>
      <c r="R226" s="203"/>
      <c r="S226" s="87"/>
      <c r="T226" s="87"/>
      <c r="U226" s="88"/>
      <c r="V226" s="203"/>
      <c r="W226" s="203"/>
      <c r="X226" s="201"/>
      <c r="Y226" s="201"/>
      <c r="Z226" s="87"/>
      <c r="AA226" s="224"/>
      <c r="AB226" s="201"/>
      <c r="AC226" s="335"/>
      <c r="AD226" s="224"/>
      <c r="AE226" s="88"/>
      <c r="AF226" s="88"/>
      <c r="AG226" s="86"/>
      <c r="AH226" s="86"/>
      <c r="AI226" s="89"/>
      <c r="AJ226" s="86"/>
      <c r="AK226" s="86"/>
      <c r="AL226" s="86"/>
      <c r="AM226" s="86"/>
      <c r="AN226" s="86"/>
      <c r="AO226" s="86"/>
      <c r="AP226" s="115"/>
      <c r="AQ226" s="116"/>
      <c r="AR226" s="116"/>
      <c r="AS226" s="136"/>
      <c r="AT226" s="116"/>
      <c r="AU226" s="86"/>
      <c r="AV226" s="86"/>
      <c r="AW226" s="86"/>
      <c r="AX226" s="86"/>
      <c r="AY226" s="86"/>
      <c r="AZ226" s="90"/>
      <c r="BA226" s="90"/>
      <c r="BB226" s="86"/>
      <c r="BC226" s="116"/>
      <c r="BD226" s="116"/>
      <c r="BE226" s="116"/>
      <c r="BF226" s="86"/>
      <c r="BG226" s="91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261"/>
      <c r="CG226" s="337"/>
    </row>
    <row r="227" spans="1:85" s="263" customFormat="1" ht="15.75" x14ac:dyDescent="0.2">
      <c r="A227" s="84"/>
      <c r="B227" s="85"/>
      <c r="C227" s="84"/>
      <c r="D227" s="88"/>
      <c r="E227" s="88"/>
      <c r="F227" s="201"/>
      <c r="G227" s="88"/>
      <c r="H227" s="216"/>
      <c r="I227" s="220"/>
      <c r="J227" s="202"/>
      <c r="K227" s="341"/>
      <c r="L227" s="342"/>
      <c r="M227" s="343"/>
      <c r="N227" s="201"/>
      <c r="O227" s="202"/>
      <c r="P227" s="341"/>
      <c r="Q227" s="342"/>
      <c r="R227" s="342"/>
      <c r="S227" s="87"/>
      <c r="T227" s="87"/>
      <c r="U227" s="341"/>
      <c r="V227" s="203"/>
      <c r="W227" s="271"/>
      <c r="X227" s="201"/>
      <c r="Y227" s="201"/>
      <c r="Z227" s="87"/>
      <c r="AA227" s="224"/>
      <c r="AB227" s="201"/>
      <c r="AC227" s="335"/>
      <c r="AD227" s="224"/>
      <c r="AE227" s="88"/>
      <c r="AF227" s="88"/>
      <c r="AG227" s="86"/>
      <c r="AH227" s="86"/>
      <c r="AI227" s="89"/>
      <c r="AJ227" s="86"/>
      <c r="AK227" s="86"/>
      <c r="AL227" s="86"/>
      <c r="AM227" s="86"/>
      <c r="AN227" s="86"/>
      <c r="AO227" s="86"/>
      <c r="AP227" s="115"/>
      <c r="AQ227" s="116"/>
      <c r="AR227" s="116"/>
      <c r="AS227" s="136"/>
      <c r="AT227" s="116"/>
      <c r="AU227" s="86"/>
      <c r="AV227" s="86"/>
      <c r="AW227" s="86"/>
      <c r="AX227" s="86"/>
      <c r="AY227" s="86"/>
      <c r="AZ227" s="90"/>
      <c r="BA227" s="90"/>
      <c r="BB227" s="86"/>
      <c r="BC227" s="116"/>
      <c r="BD227" s="116"/>
      <c r="BE227" s="116"/>
      <c r="BF227" s="86"/>
      <c r="BG227" s="91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261"/>
      <c r="CG227" s="337"/>
    </row>
    <row r="228" spans="1:85" s="263" customFormat="1" ht="15.75" x14ac:dyDescent="0.2">
      <c r="A228" s="84"/>
      <c r="B228" s="85"/>
      <c r="C228" s="84"/>
      <c r="D228" s="88"/>
      <c r="E228" s="88"/>
      <c r="F228" s="201"/>
      <c r="G228" s="88"/>
      <c r="H228" s="216"/>
      <c r="I228" s="220"/>
      <c r="J228" s="202"/>
      <c r="K228" s="344"/>
      <c r="L228" s="342"/>
      <c r="M228" s="343"/>
      <c r="N228" s="201"/>
      <c r="O228" s="202"/>
      <c r="P228" s="344"/>
      <c r="Q228" s="342"/>
      <c r="R228" s="343"/>
      <c r="S228" s="87"/>
      <c r="T228" s="87"/>
      <c r="U228" s="341"/>
      <c r="V228" s="270"/>
      <c r="W228" s="271"/>
      <c r="X228" s="201"/>
      <c r="Y228" s="201"/>
      <c r="Z228" s="87"/>
      <c r="AA228" s="224"/>
      <c r="AB228" s="201"/>
      <c r="AC228" s="335"/>
      <c r="AD228" s="224"/>
      <c r="AE228" s="88"/>
      <c r="AF228" s="88"/>
      <c r="AG228" s="86"/>
      <c r="AH228" s="86"/>
      <c r="AI228" s="89"/>
      <c r="AJ228" s="86"/>
      <c r="AK228" s="86"/>
      <c r="AL228" s="86"/>
      <c r="AM228" s="86"/>
      <c r="AN228" s="86"/>
      <c r="AO228" s="86"/>
      <c r="AP228" s="115"/>
      <c r="AQ228" s="116"/>
      <c r="AR228" s="116"/>
      <c r="AS228" s="136"/>
      <c r="AT228" s="116"/>
      <c r="AU228" s="86"/>
      <c r="AV228" s="86"/>
      <c r="AW228" s="86"/>
      <c r="AX228" s="86"/>
      <c r="AY228" s="86"/>
      <c r="AZ228" s="90"/>
      <c r="BA228" s="90"/>
      <c r="BB228" s="86"/>
      <c r="BC228" s="116"/>
      <c r="BD228" s="116"/>
      <c r="BE228" s="116"/>
      <c r="BF228" s="86"/>
      <c r="BG228" s="91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261"/>
      <c r="CG228" s="337"/>
    </row>
    <row r="229" spans="1:85" s="263" customFormat="1" ht="15.75" x14ac:dyDescent="0.2">
      <c r="A229" s="84"/>
      <c r="B229" s="85"/>
      <c r="C229" s="84"/>
      <c r="D229" s="88"/>
      <c r="E229" s="88"/>
      <c r="F229" s="201"/>
      <c r="G229" s="88"/>
      <c r="H229" s="216"/>
      <c r="I229" s="220"/>
      <c r="J229" s="202"/>
      <c r="K229" s="341"/>
      <c r="L229" s="343"/>
      <c r="M229" s="343"/>
      <c r="N229" s="201"/>
      <c r="O229" s="202"/>
      <c r="P229" s="341"/>
      <c r="Q229" s="342"/>
      <c r="R229" s="343"/>
      <c r="S229" s="87"/>
      <c r="T229" s="87"/>
      <c r="U229" s="341"/>
      <c r="V229" s="270"/>
      <c r="W229" s="271"/>
      <c r="X229" s="201"/>
      <c r="Y229" s="201"/>
      <c r="Z229" s="87"/>
      <c r="AA229" s="224"/>
      <c r="AB229" s="201"/>
      <c r="AC229" s="335"/>
      <c r="AD229" s="224"/>
      <c r="AE229" s="88"/>
      <c r="AF229" s="88"/>
      <c r="AG229" s="86"/>
      <c r="AH229" s="86"/>
      <c r="AI229" s="89"/>
      <c r="AJ229" s="86"/>
      <c r="AK229" s="86"/>
      <c r="AL229" s="86"/>
      <c r="AM229" s="86"/>
      <c r="AN229" s="86"/>
      <c r="AO229" s="86"/>
      <c r="AP229" s="115"/>
      <c r="AQ229" s="116"/>
      <c r="AR229" s="116"/>
      <c r="AS229" s="136"/>
      <c r="AT229" s="116"/>
      <c r="AU229" s="86"/>
      <c r="AV229" s="86"/>
      <c r="AW229" s="86"/>
      <c r="AX229" s="86"/>
      <c r="AY229" s="86"/>
      <c r="AZ229" s="90"/>
      <c r="BA229" s="90"/>
      <c r="BB229" s="86"/>
      <c r="BC229" s="116"/>
      <c r="BD229" s="116"/>
      <c r="BE229" s="116"/>
      <c r="BF229" s="86"/>
      <c r="BG229" s="91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261"/>
      <c r="CG229" s="337"/>
    </row>
    <row r="230" spans="1:85" s="263" customFormat="1" ht="15.75" x14ac:dyDescent="0.2">
      <c r="A230" s="84"/>
      <c r="B230" s="85"/>
      <c r="C230" s="84"/>
      <c r="D230" s="88"/>
      <c r="E230" s="88"/>
      <c r="F230" s="201"/>
      <c r="G230" s="88"/>
      <c r="H230" s="216"/>
      <c r="I230" s="220"/>
      <c r="J230" s="202"/>
      <c r="K230" s="341"/>
      <c r="L230" s="342"/>
      <c r="M230" s="343"/>
      <c r="N230" s="201"/>
      <c r="O230" s="202"/>
      <c r="P230" s="344"/>
      <c r="Q230" s="342"/>
      <c r="R230" s="343"/>
      <c r="S230" s="87"/>
      <c r="T230" s="87"/>
      <c r="U230" s="341"/>
      <c r="V230" s="271"/>
      <c r="W230" s="271"/>
      <c r="X230" s="201"/>
      <c r="Y230" s="201"/>
      <c r="Z230" s="87"/>
      <c r="AA230" s="224"/>
      <c r="AB230" s="201"/>
      <c r="AC230" s="335"/>
      <c r="AD230" s="224"/>
      <c r="AE230" s="88"/>
      <c r="AF230" s="88"/>
      <c r="AG230" s="86"/>
      <c r="AH230" s="86"/>
      <c r="AI230" s="89"/>
      <c r="AJ230" s="86"/>
      <c r="AK230" s="86"/>
      <c r="AL230" s="86"/>
      <c r="AM230" s="86"/>
      <c r="AN230" s="86"/>
      <c r="AO230" s="86"/>
      <c r="AP230" s="115"/>
      <c r="AQ230" s="116"/>
      <c r="AR230" s="116"/>
      <c r="AS230" s="136"/>
      <c r="AT230" s="116"/>
      <c r="AU230" s="86"/>
      <c r="AV230" s="86"/>
      <c r="AW230" s="86"/>
      <c r="AX230" s="86"/>
      <c r="AY230" s="86"/>
      <c r="AZ230" s="90"/>
      <c r="BA230" s="90"/>
      <c r="BB230" s="86"/>
      <c r="BC230" s="116"/>
      <c r="BD230" s="116"/>
      <c r="BE230" s="116"/>
      <c r="BF230" s="86"/>
      <c r="BG230" s="91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261"/>
      <c r="CG230" s="337"/>
    </row>
    <row r="231" spans="1:85" s="263" customFormat="1" ht="15.75" x14ac:dyDescent="0.2">
      <c r="A231" s="84"/>
      <c r="B231" s="85"/>
      <c r="C231" s="84"/>
      <c r="D231" s="88"/>
      <c r="E231" s="88"/>
      <c r="F231" s="201"/>
      <c r="G231" s="88"/>
      <c r="H231" s="216"/>
      <c r="I231" s="220"/>
      <c r="J231" s="202"/>
      <c r="K231" s="341"/>
      <c r="L231" s="343"/>
      <c r="M231" s="343"/>
      <c r="N231" s="201"/>
      <c r="O231" s="202"/>
      <c r="P231" s="341"/>
      <c r="Q231" s="342"/>
      <c r="R231" s="343"/>
      <c r="S231" s="87"/>
      <c r="T231" s="87"/>
      <c r="U231" s="341"/>
      <c r="V231" s="270"/>
      <c r="W231" s="271"/>
      <c r="X231" s="201"/>
      <c r="Y231" s="201"/>
      <c r="Z231" s="87"/>
      <c r="AA231" s="224"/>
      <c r="AB231" s="201"/>
      <c r="AC231" s="335"/>
      <c r="AD231" s="224"/>
      <c r="AE231" s="88"/>
      <c r="AF231" s="88"/>
      <c r="AG231" s="86"/>
      <c r="AH231" s="86"/>
      <c r="AI231" s="89"/>
      <c r="AJ231" s="86"/>
      <c r="AK231" s="86"/>
      <c r="AL231" s="86"/>
      <c r="AM231" s="86"/>
      <c r="AN231" s="86"/>
      <c r="AO231" s="86"/>
      <c r="AP231" s="115"/>
      <c r="AQ231" s="116"/>
      <c r="AR231" s="116"/>
      <c r="AS231" s="136"/>
      <c r="AT231" s="116"/>
      <c r="AU231" s="86"/>
      <c r="AV231" s="86"/>
      <c r="AW231" s="86"/>
      <c r="AX231" s="86"/>
      <c r="AY231" s="86"/>
      <c r="AZ231" s="90"/>
      <c r="BA231" s="90"/>
      <c r="BB231" s="86"/>
      <c r="BC231" s="116"/>
      <c r="BD231" s="116"/>
      <c r="BE231" s="116"/>
      <c r="BF231" s="86"/>
      <c r="BG231" s="91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261"/>
      <c r="CG231" s="337"/>
    </row>
    <row r="232" spans="1:85" s="263" customFormat="1" ht="15.75" x14ac:dyDescent="0.2">
      <c r="A232" s="84"/>
      <c r="B232" s="85"/>
      <c r="C232" s="84"/>
      <c r="D232" s="88"/>
      <c r="E232" s="88"/>
      <c r="F232" s="201"/>
      <c r="G232" s="88"/>
      <c r="H232" s="216"/>
      <c r="I232" s="220"/>
      <c r="J232" s="202"/>
      <c r="K232" s="344"/>
      <c r="L232" s="342"/>
      <c r="M232" s="343"/>
      <c r="N232" s="201"/>
      <c r="O232" s="202"/>
      <c r="P232" s="344"/>
      <c r="Q232" s="342"/>
      <c r="R232" s="343"/>
      <c r="S232" s="87"/>
      <c r="T232" s="87"/>
      <c r="U232" s="341"/>
      <c r="V232" s="271"/>
      <c r="W232" s="271"/>
      <c r="X232" s="201"/>
      <c r="Y232" s="201"/>
      <c r="Z232" s="87"/>
      <c r="AA232" s="224"/>
      <c r="AB232" s="201"/>
      <c r="AC232" s="335"/>
      <c r="AD232" s="224"/>
      <c r="AE232" s="88"/>
      <c r="AF232" s="88"/>
      <c r="AG232" s="86"/>
      <c r="AH232" s="86"/>
      <c r="AI232" s="89"/>
      <c r="AJ232" s="86"/>
      <c r="AK232" s="86"/>
      <c r="AL232" s="86"/>
      <c r="AM232" s="86"/>
      <c r="AN232" s="86"/>
      <c r="AO232" s="86"/>
      <c r="AP232" s="115"/>
      <c r="AQ232" s="116"/>
      <c r="AR232" s="116"/>
      <c r="AS232" s="136"/>
      <c r="AT232" s="116"/>
      <c r="AU232" s="86"/>
      <c r="AV232" s="86"/>
      <c r="AW232" s="86"/>
      <c r="AX232" s="86"/>
      <c r="AY232" s="86"/>
      <c r="AZ232" s="90"/>
      <c r="BA232" s="90"/>
      <c r="BB232" s="86"/>
      <c r="BC232" s="116"/>
      <c r="BD232" s="116"/>
      <c r="BE232" s="116"/>
      <c r="BF232" s="86"/>
      <c r="BG232" s="91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261"/>
      <c r="CG232" s="337"/>
    </row>
    <row r="233" spans="1:85" s="263" customFormat="1" ht="15.75" x14ac:dyDescent="0.2">
      <c r="A233" s="84"/>
      <c r="B233" s="85"/>
      <c r="C233" s="84"/>
      <c r="D233" s="88"/>
      <c r="E233" s="88"/>
      <c r="F233" s="201"/>
      <c r="G233" s="88"/>
      <c r="H233" s="216"/>
      <c r="I233" s="220"/>
      <c r="J233" s="202"/>
      <c r="K233" s="341"/>
      <c r="L233" s="343"/>
      <c r="M233" s="343"/>
      <c r="N233" s="201"/>
      <c r="O233" s="202"/>
      <c r="P233" s="341"/>
      <c r="Q233" s="342"/>
      <c r="R233" s="343"/>
      <c r="S233" s="87"/>
      <c r="T233" s="87"/>
      <c r="U233" s="341"/>
      <c r="V233" s="270"/>
      <c r="W233" s="271"/>
      <c r="X233" s="201"/>
      <c r="Y233" s="201"/>
      <c r="Z233" s="87"/>
      <c r="AA233" s="224"/>
      <c r="AB233" s="201"/>
      <c r="AC233" s="335"/>
      <c r="AD233" s="224"/>
      <c r="AE233" s="88"/>
      <c r="AF233" s="88"/>
      <c r="AG233" s="86"/>
      <c r="AH233" s="86"/>
      <c r="AI233" s="89"/>
      <c r="AJ233" s="86"/>
      <c r="AK233" s="86"/>
      <c r="AL233" s="86"/>
      <c r="AM233" s="86"/>
      <c r="AN233" s="86"/>
      <c r="AO233" s="86"/>
      <c r="AP233" s="115"/>
      <c r="AQ233" s="116"/>
      <c r="AR233" s="116"/>
      <c r="AS233" s="136"/>
      <c r="AT233" s="116"/>
      <c r="AU233" s="86"/>
      <c r="AV233" s="86"/>
      <c r="AW233" s="86"/>
      <c r="AX233" s="86"/>
      <c r="AY233" s="86"/>
      <c r="AZ233" s="90"/>
      <c r="BA233" s="90"/>
      <c r="BB233" s="86"/>
      <c r="BC233" s="116"/>
      <c r="BD233" s="116"/>
      <c r="BE233" s="116"/>
      <c r="BF233" s="86"/>
      <c r="BG233" s="91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261"/>
      <c r="CG233" s="337"/>
    </row>
    <row r="234" spans="1:85" s="263" customFormat="1" ht="15.75" x14ac:dyDescent="0.2">
      <c r="A234" s="84"/>
      <c r="B234" s="85"/>
      <c r="C234" s="84"/>
      <c r="D234" s="88"/>
      <c r="E234" s="88"/>
      <c r="F234" s="201"/>
      <c r="G234" s="88"/>
      <c r="H234" s="216"/>
      <c r="I234" s="220"/>
      <c r="J234" s="202"/>
      <c r="K234" s="344"/>
      <c r="L234" s="342"/>
      <c r="M234" s="343"/>
      <c r="N234" s="201"/>
      <c r="O234" s="202"/>
      <c r="P234" s="344"/>
      <c r="Q234" s="342"/>
      <c r="R234" s="343"/>
      <c r="S234" s="87"/>
      <c r="T234" s="87"/>
      <c r="U234" s="341"/>
      <c r="V234" s="271"/>
      <c r="W234" s="271"/>
      <c r="X234" s="201"/>
      <c r="Y234" s="201"/>
      <c r="Z234" s="87"/>
      <c r="AA234" s="224"/>
      <c r="AB234" s="201"/>
      <c r="AC234" s="335"/>
      <c r="AD234" s="224"/>
      <c r="AE234" s="88"/>
      <c r="AF234" s="88"/>
      <c r="AG234" s="86"/>
      <c r="AH234" s="86"/>
      <c r="AI234" s="89"/>
      <c r="AJ234" s="86"/>
      <c r="AK234" s="86"/>
      <c r="AL234" s="86"/>
      <c r="AM234" s="86"/>
      <c r="AN234" s="86"/>
      <c r="AO234" s="86"/>
      <c r="AP234" s="115"/>
      <c r="AQ234" s="116"/>
      <c r="AR234" s="116"/>
      <c r="AS234" s="136"/>
      <c r="AT234" s="116"/>
      <c r="AU234" s="86"/>
      <c r="AV234" s="86"/>
      <c r="AW234" s="86"/>
      <c r="AX234" s="86"/>
      <c r="AY234" s="86"/>
      <c r="AZ234" s="90"/>
      <c r="BA234" s="90"/>
      <c r="BB234" s="86"/>
      <c r="BC234" s="116"/>
      <c r="BD234" s="116"/>
      <c r="BE234" s="116"/>
      <c r="BF234" s="86"/>
      <c r="BG234" s="91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261"/>
      <c r="CG234" s="337"/>
    </row>
    <row r="235" spans="1:85" s="263" customFormat="1" ht="15.75" x14ac:dyDescent="0.2">
      <c r="A235" s="84"/>
      <c r="B235" s="85"/>
      <c r="C235" s="84"/>
      <c r="D235" s="88"/>
      <c r="E235" s="88"/>
      <c r="F235" s="201"/>
      <c r="G235" s="88"/>
      <c r="H235" s="216"/>
      <c r="I235" s="220"/>
      <c r="J235" s="202"/>
      <c r="K235" s="344"/>
      <c r="L235" s="343"/>
      <c r="M235" s="343"/>
      <c r="N235" s="201"/>
      <c r="O235" s="202"/>
      <c r="P235" s="341"/>
      <c r="Q235" s="342"/>
      <c r="R235" s="343"/>
      <c r="S235" s="87"/>
      <c r="T235" s="87"/>
      <c r="U235" s="341"/>
      <c r="V235" s="270"/>
      <c r="W235" s="271"/>
      <c r="X235" s="201"/>
      <c r="Y235" s="201"/>
      <c r="Z235" s="87"/>
      <c r="AA235" s="224"/>
      <c r="AB235" s="201"/>
      <c r="AC235" s="335"/>
      <c r="AD235" s="224"/>
      <c r="AE235" s="88"/>
      <c r="AF235" s="88"/>
      <c r="AG235" s="86"/>
      <c r="AH235" s="86"/>
      <c r="AI235" s="89"/>
      <c r="AJ235" s="86"/>
      <c r="AK235" s="86"/>
      <c r="AL235" s="86"/>
      <c r="AM235" s="86"/>
      <c r="AN235" s="86"/>
      <c r="AO235" s="86"/>
      <c r="AP235" s="115"/>
      <c r="AQ235" s="116"/>
      <c r="AR235" s="116"/>
      <c r="AS235" s="136"/>
      <c r="AT235" s="116"/>
      <c r="AU235" s="86"/>
      <c r="AV235" s="86"/>
      <c r="AW235" s="86"/>
      <c r="AX235" s="86"/>
      <c r="AY235" s="86"/>
      <c r="AZ235" s="90"/>
      <c r="BA235" s="90"/>
      <c r="BB235" s="86"/>
      <c r="BC235" s="116"/>
      <c r="BD235" s="116"/>
      <c r="BE235" s="116"/>
      <c r="BF235" s="86"/>
      <c r="BG235" s="91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261"/>
      <c r="CG235" s="337"/>
    </row>
    <row r="236" spans="1:85" s="263" customFormat="1" ht="15.75" x14ac:dyDescent="0.2">
      <c r="A236" s="84"/>
      <c r="B236" s="85"/>
      <c r="C236" s="84"/>
      <c r="D236" s="88"/>
      <c r="E236" s="88"/>
      <c r="F236" s="201"/>
      <c r="G236" s="88"/>
      <c r="H236" s="216"/>
      <c r="I236" s="220"/>
      <c r="J236" s="202"/>
      <c r="K236" s="341"/>
      <c r="L236" s="342"/>
      <c r="M236" s="342"/>
      <c r="N236" s="201"/>
      <c r="O236" s="202"/>
      <c r="P236" s="344"/>
      <c r="Q236" s="342"/>
      <c r="R236" s="343"/>
      <c r="S236" s="87"/>
      <c r="T236" s="87"/>
      <c r="U236" s="272"/>
      <c r="V236" s="271"/>
      <c r="W236" s="271"/>
      <c r="X236" s="201"/>
      <c r="Y236" s="201"/>
      <c r="Z236" s="87"/>
      <c r="AA236" s="224"/>
      <c r="AB236" s="201"/>
      <c r="AC236" s="335"/>
      <c r="AD236" s="224"/>
      <c r="AE236" s="88"/>
      <c r="AF236" s="88"/>
      <c r="AG236" s="86"/>
      <c r="AH236" s="86"/>
      <c r="AI236" s="89"/>
      <c r="AJ236" s="86"/>
      <c r="AK236" s="86"/>
      <c r="AL236" s="86"/>
      <c r="AM236" s="86"/>
      <c r="AN236" s="86"/>
      <c r="AO236" s="86"/>
      <c r="AP236" s="115"/>
      <c r="AQ236" s="116"/>
      <c r="AR236" s="116"/>
      <c r="AS236" s="136"/>
      <c r="AT236" s="116"/>
      <c r="AU236" s="86"/>
      <c r="AV236" s="86"/>
      <c r="AW236" s="86"/>
      <c r="AX236" s="86"/>
      <c r="AY236" s="86"/>
      <c r="AZ236" s="90"/>
      <c r="BA236" s="90"/>
      <c r="BB236" s="86"/>
      <c r="BC236" s="116"/>
      <c r="BD236" s="116"/>
      <c r="BE236" s="116"/>
      <c r="BF236" s="86"/>
      <c r="BG236" s="91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261"/>
      <c r="CG236" s="337"/>
    </row>
    <row r="237" spans="1:85" s="263" customFormat="1" ht="15.75" x14ac:dyDescent="0.2">
      <c r="A237" s="84"/>
      <c r="B237" s="85"/>
      <c r="C237" s="84"/>
      <c r="D237" s="88"/>
      <c r="E237" s="88"/>
      <c r="F237" s="201"/>
      <c r="G237" s="88"/>
      <c r="H237" s="216"/>
      <c r="I237" s="220"/>
      <c r="J237" s="202"/>
      <c r="K237" s="341"/>
      <c r="L237" s="343"/>
      <c r="M237" s="342"/>
      <c r="N237" s="201"/>
      <c r="O237" s="202"/>
      <c r="P237" s="341"/>
      <c r="Q237" s="343"/>
      <c r="R237" s="343"/>
      <c r="S237" s="87"/>
      <c r="T237" s="87"/>
      <c r="U237" s="341"/>
      <c r="V237" s="203"/>
      <c r="W237" s="270"/>
      <c r="X237" s="201"/>
      <c r="Y237" s="201"/>
      <c r="Z237" s="87"/>
      <c r="AA237" s="224"/>
      <c r="AB237" s="201"/>
      <c r="AC237" s="335"/>
      <c r="AD237" s="224"/>
      <c r="AE237" s="88"/>
      <c r="AF237" s="88"/>
      <c r="AG237" s="86"/>
      <c r="AH237" s="86"/>
      <c r="AI237" s="89"/>
      <c r="AJ237" s="86"/>
      <c r="AK237" s="86"/>
      <c r="AL237" s="86"/>
      <c r="AM237" s="86"/>
      <c r="AN237" s="86"/>
      <c r="AO237" s="86"/>
      <c r="AP237" s="115"/>
      <c r="AQ237" s="116"/>
      <c r="AR237" s="116"/>
      <c r="AS237" s="136"/>
      <c r="AT237" s="116"/>
      <c r="AU237" s="86"/>
      <c r="AV237" s="86"/>
      <c r="AW237" s="86"/>
      <c r="AX237" s="86"/>
      <c r="AY237" s="86"/>
      <c r="AZ237" s="90"/>
      <c r="BA237" s="90"/>
      <c r="BB237" s="86"/>
      <c r="BC237" s="116"/>
      <c r="BD237" s="116"/>
      <c r="BE237" s="116"/>
      <c r="BF237" s="86"/>
      <c r="BG237" s="91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261"/>
      <c r="CG237" s="337"/>
    </row>
    <row r="238" spans="1:85" s="263" customFormat="1" ht="15" x14ac:dyDescent="0.2">
      <c r="A238" s="84"/>
      <c r="B238" s="85"/>
      <c r="C238" s="84"/>
      <c r="D238" s="88"/>
      <c r="E238" s="88"/>
      <c r="F238" s="201"/>
      <c r="G238" s="88"/>
      <c r="H238" s="216"/>
      <c r="I238" s="220"/>
      <c r="J238" s="202"/>
      <c r="K238" s="88"/>
      <c r="L238" s="203"/>
      <c r="M238" s="203"/>
      <c r="N238" s="201"/>
      <c r="O238" s="202"/>
      <c r="P238" s="88"/>
      <c r="Q238" s="203"/>
      <c r="R238" s="203"/>
      <c r="S238" s="87"/>
      <c r="T238" s="87"/>
      <c r="U238" s="88"/>
      <c r="V238" s="203"/>
      <c r="W238" s="203"/>
      <c r="X238" s="201"/>
      <c r="Y238" s="201"/>
      <c r="Z238" s="87"/>
      <c r="AA238" s="224"/>
      <c r="AB238" s="201"/>
      <c r="AC238" s="335"/>
      <c r="AD238" s="224"/>
      <c r="AE238" s="88"/>
      <c r="AF238" s="88"/>
      <c r="AG238" s="86"/>
      <c r="AH238" s="86"/>
      <c r="AI238" s="89"/>
      <c r="AJ238" s="86"/>
      <c r="AK238" s="86"/>
      <c r="AL238" s="86"/>
      <c r="AM238" s="86"/>
      <c r="AN238" s="86"/>
      <c r="AO238" s="86"/>
      <c r="AP238" s="115"/>
      <c r="AQ238" s="116"/>
      <c r="AR238" s="116"/>
      <c r="AS238" s="136"/>
      <c r="AT238" s="116"/>
      <c r="AU238" s="86"/>
      <c r="AV238" s="86"/>
      <c r="AW238" s="86"/>
      <c r="AX238" s="86"/>
      <c r="AY238" s="86"/>
      <c r="AZ238" s="90"/>
      <c r="BA238" s="90"/>
      <c r="BB238" s="86"/>
      <c r="BC238" s="116"/>
      <c r="BD238" s="116"/>
      <c r="BE238" s="116"/>
      <c r="BF238" s="86"/>
      <c r="BG238" s="91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261"/>
      <c r="CG238" s="337"/>
    </row>
    <row r="239" spans="1:85" s="263" customFormat="1" ht="15" x14ac:dyDescent="0.2">
      <c r="A239" s="84"/>
      <c r="B239" s="85"/>
      <c r="C239" s="84"/>
      <c r="D239" s="88"/>
      <c r="E239" s="88"/>
      <c r="F239" s="201"/>
      <c r="G239" s="88"/>
      <c r="H239" s="216"/>
      <c r="I239" s="220"/>
      <c r="J239" s="202"/>
      <c r="K239" s="88"/>
      <c r="L239" s="203"/>
      <c r="M239" s="203"/>
      <c r="N239" s="201"/>
      <c r="O239" s="202"/>
      <c r="P239" s="88"/>
      <c r="Q239" s="203"/>
      <c r="R239" s="203"/>
      <c r="S239" s="87"/>
      <c r="T239" s="87"/>
      <c r="U239" s="88"/>
      <c r="V239" s="203"/>
      <c r="W239" s="203"/>
      <c r="X239" s="201"/>
      <c r="Y239" s="201"/>
      <c r="Z239" s="87"/>
      <c r="AA239" s="224"/>
      <c r="AB239" s="201"/>
      <c r="AC239" s="335"/>
      <c r="AD239" s="224"/>
      <c r="AE239" s="88"/>
      <c r="AF239" s="88"/>
      <c r="AG239" s="86"/>
      <c r="AH239" s="86"/>
      <c r="AI239" s="89"/>
      <c r="AJ239" s="86"/>
      <c r="AK239" s="86"/>
      <c r="AL239" s="86"/>
      <c r="AM239" s="86"/>
      <c r="AN239" s="86"/>
      <c r="AO239" s="86"/>
      <c r="AP239" s="115"/>
      <c r="AQ239" s="116"/>
      <c r="AR239" s="116"/>
      <c r="AS239" s="136"/>
      <c r="AT239" s="116"/>
      <c r="AU239" s="86"/>
      <c r="AV239" s="86"/>
      <c r="AW239" s="86"/>
      <c r="AX239" s="86"/>
      <c r="AY239" s="86"/>
      <c r="AZ239" s="90"/>
      <c r="BA239" s="90"/>
      <c r="BB239" s="86"/>
      <c r="BC239" s="116"/>
      <c r="BD239" s="116"/>
      <c r="BE239" s="116"/>
      <c r="BF239" s="86"/>
      <c r="BG239" s="91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261"/>
      <c r="CG239" s="337"/>
    </row>
    <row r="240" spans="1:85" s="263" customFormat="1" ht="15" x14ac:dyDescent="0.2">
      <c r="A240" s="84"/>
      <c r="B240" s="85"/>
      <c r="C240" s="84"/>
      <c r="D240" s="88"/>
      <c r="E240" s="88"/>
      <c r="F240" s="201"/>
      <c r="G240" s="88"/>
      <c r="H240" s="216"/>
      <c r="I240" s="220"/>
      <c r="J240" s="202"/>
      <c r="K240" s="88"/>
      <c r="L240" s="203"/>
      <c r="M240" s="203"/>
      <c r="N240" s="201"/>
      <c r="O240" s="202"/>
      <c r="P240" s="88"/>
      <c r="Q240" s="203"/>
      <c r="R240" s="203"/>
      <c r="S240" s="87"/>
      <c r="T240" s="87"/>
      <c r="U240" s="88"/>
      <c r="V240" s="203"/>
      <c r="W240" s="203"/>
      <c r="X240" s="201"/>
      <c r="Y240" s="201"/>
      <c r="Z240" s="87"/>
      <c r="AA240" s="224"/>
      <c r="AB240" s="201"/>
      <c r="AC240" s="335"/>
      <c r="AD240" s="224"/>
      <c r="AE240" s="88"/>
      <c r="AF240" s="88"/>
      <c r="AG240" s="86"/>
      <c r="AH240" s="86"/>
      <c r="AI240" s="89"/>
      <c r="AJ240" s="86"/>
      <c r="AK240" s="86"/>
      <c r="AL240" s="86"/>
      <c r="AM240" s="86"/>
      <c r="AN240" s="86"/>
      <c r="AO240" s="86"/>
      <c r="AP240" s="115"/>
      <c r="AQ240" s="116"/>
      <c r="AR240" s="116"/>
      <c r="AS240" s="136"/>
      <c r="AT240" s="116"/>
      <c r="AU240" s="86"/>
      <c r="AV240" s="86"/>
      <c r="AW240" s="86"/>
      <c r="AX240" s="86"/>
      <c r="AY240" s="86"/>
      <c r="AZ240" s="90"/>
      <c r="BA240" s="90"/>
      <c r="BB240" s="86"/>
      <c r="BC240" s="116"/>
      <c r="BD240" s="116"/>
      <c r="BE240" s="116"/>
      <c r="BF240" s="86"/>
      <c r="BG240" s="91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261"/>
      <c r="CG240" s="337"/>
    </row>
    <row r="241" spans="1:85" s="263" customFormat="1" ht="15" x14ac:dyDescent="0.2">
      <c r="A241" s="84"/>
      <c r="B241" s="85"/>
      <c r="C241" s="84"/>
      <c r="D241" s="88"/>
      <c r="E241" s="88"/>
      <c r="F241" s="201"/>
      <c r="G241" s="88"/>
      <c r="H241" s="216"/>
      <c r="I241" s="220"/>
      <c r="J241" s="202"/>
      <c r="K241" s="88"/>
      <c r="L241" s="203"/>
      <c r="M241" s="203"/>
      <c r="N241" s="201"/>
      <c r="O241" s="202"/>
      <c r="P241" s="88"/>
      <c r="Q241" s="203"/>
      <c r="R241" s="203"/>
      <c r="S241" s="87"/>
      <c r="T241" s="87"/>
      <c r="U241" s="88"/>
      <c r="V241" s="203"/>
      <c r="W241" s="203"/>
      <c r="X241" s="201"/>
      <c r="Y241" s="201"/>
      <c r="Z241" s="87"/>
      <c r="AA241" s="224"/>
      <c r="AB241" s="201"/>
      <c r="AC241" s="335"/>
      <c r="AD241" s="224"/>
      <c r="AE241" s="88"/>
      <c r="AF241" s="88"/>
      <c r="AG241" s="86"/>
      <c r="AH241" s="86"/>
      <c r="AI241" s="89"/>
      <c r="AJ241" s="86"/>
      <c r="AK241" s="86"/>
      <c r="AL241" s="86"/>
      <c r="AM241" s="86"/>
      <c r="AN241" s="86"/>
      <c r="AO241" s="86"/>
      <c r="AP241" s="115"/>
      <c r="AQ241" s="116"/>
      <c r="AR241" s="116"/>
      <c r="AS241" s="136"/>
      <c r="AT241" s="116"/>
      <c r="AU241" s="86"/>
      <c r="AV241" s="86"/>
      <c r="AW241" s="86"/>
      <c r="AX241" s="86"/>
      <c r="AY241" s="86"/>
      <c r="AZ241" s="90"/>
      <c r="BA241" s="90"/>
      <c r="BB241" s="86"/>
      <c r="BC241" s="116"/>
      <c r="BD241" s="116"/>
      <c r="BE241" s="116"/>
      <c r="BF241" s="86"/>
      <c r="BG241" s="91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261"/>
      <c r="CG241" s="337"/>
    </row>
    <row r="242" spans="1:85" s="263" customFormat="1" ht="15" x14ac:dyDescent="0.2">
      <c r="A242" s="84"/>
      <c r="B242" s="85"/>
      <c r="C242" s="84"/>
      <c r="D242" s="88"/>
      <c r="E242" s="88"/>
      <c r="F242" s="201"/>
      <c r="G242" s="88"/>
      <c r="H242" s="216"/>
      <c r="I242" s="220"/>
      <c r="J242" s="202"/>
      <c r="K242" s="88"/>
      <c r="L242" s="203"/>
      <c r="M242" s="203"/>
      <c r="N242" s="201"/>
      <c r="O242" s="202"/>
      <c r="P242" s="88"/>
      <c r="Q242" s="203"/>
      <c r="R242" s="203"/>
      <c r="S242" s="87"/>
      <c r="T242" s="87"/>
      <c r="U242" s="88"/>
      <c r="V242" s="203"/>
      <c r="W242" s="203"/>
      <c r="X242" s="201"/>
      <c r="Y242" s="201"/>
      <c r="Z242" s="87"/>
      <c r="AA242" s="224"/>
      <c r="AB242" s="201"/>
      <c r="AC242" s="335"/>
      <c r="AD242" s="224"/>
      <c r="AE242" s="88"/>
      <c r="AF242" s="88"/>
      <c r="AG242" s="86"/>
      <c r="AH242" s="86"/>
      <c r="AI242" s="89"/>
      <c r="AJ242" s="86"/>
      <c r="AK242" s="86"/>
      <c r="AL242" s="86"/>
      <c r="AM242" s="86"/>
      <c r="AN242" s="86"/>
      <c r="AO242" s="86"/>
      <c r="AP242" s="115"/>
      <c r="AQ242" s="116"/>
      <c r="AR242" s="116"/>
      <c r="AS242" s="136"/>
      <c r="AT242" s="116"/>
      <c r="AU242" s="86"/>
      <c r="AV242" s="86"/>
      <c r="AW242" s="86"/>
      <c r="AX242" s="86"/>
      <c r="AY242" s="86"/>
      <c r="AZ242" s="90"/>
      <c r="BA242" s="90"/>
      <c r="BB242" s="86"/>
      <c r="BC242" s="116"/>
      <c r="BD242" s="116"/>
      <c r="BE242" s="116"/>
      <c r="BF242" s="86"/>
      <c r="BG242" s="91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261"/>
      <c r="CG242" s="337"/>
    </row>
    <row r="243" spans="1:85" s="263" customFormat="1" ht="15" x14ac:dyDescent="0.2">
      <c r="A243" s="84"/>
      <c r="B243" s="85"/>
      <c r="C243" s="84"/>
      <c r="D243" s="88"/>
      <c r="E243" s="88"/>
      <c r="F243" s="201"/>
      <c r="G243" s="88"/>
      <c r="H243" s="216"/>
      <c r="I243" s="220"/>
      <c r="J243" s="202"/>
      <c r="K243" s="88"/>
      <c r="L243" s="203"/>
      <c r="M243" s="203"/>
      <c r="N243" s="201"/>
      <c r="O243" s="202"/>
      <c r="P243" s="88"/>
      <c r="Q243" s="203"/>
      <c r="R243" s="203"/>
      <c r="S243" s="87"/>
      <c r="T243" s="87"/>
      <c r="U243" s="88"/>
      <c r="V243" s="203"/>
      <c r="W243" s="203"/>
      <c r="X243" s="201"/>
      <c r="Y243" s="201"/>
      <c r="Z243" s="87"/>
      <c r="AA243" s="224"/>
      <c r="AB243" s="201"/>
      <c r="AC243" s="335"/>
      <c r="AD243" s="224"/>
      <c r="AE243" s="88"/>
      <c r="AF243" s="88"/>
      <c r="AG243" s="86"/>
      <c r="AH243" s="86"/>
      <c r="AI243" s="89"/>
      <c r="AJ243" s="86"/>
      <c r="AK243" s="86"/>
      <c r="AL243" s="86"/>
      <c r="AM243" s="86"/>
      <c r="AN243" s="86"/>
      <c r="AO243" s="86"/>
      <c r="AP243" s="115"/>
      <c r="AQ243" s="116"/>
      <c r="AR243" s="116"/>
      <c r="AS243" s="136"/>
      <c r="AT243" s="116"/>
      <c r="AU243" s="86"/>
      <c r="AV243" s="86"/>
      <c r="AW243" s="86"/>
      <c r="AX243" s="86"/>
      <c r="AY243" s="86"/>
      <c r="AZ243" s="90"/>
      <c r="BA243" s="90"/>
      <c r="BB243" s="86"/>
      <c r="BC243" s="116"/>
      <c r="BD243" s="116"/>
      <c r="BE243" s="116"/>
      <c r="BF243" s="86"/>
      <c r="BG243" s="91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261"/>
      <c r="CG243" s="337"/>
    </row>
    <row r="244" spans="1:85" s="263" customFormat="1" ht="15" x14ac:dyDescent="0.2">
      <c r="A244" s="84"/>
      <c r="B244" s="85"/>
      <c r="C244" s="84"/>
      <c r="D244" s="88"/>
      <c r="E244" s="88"/>
      <c r="F244" s="201"/>
      <c r="G244" s="88"/>
      <c r="H244" s="216"/>
      <c r="I244" s="220"/>
      <c r="J244" s="202"/>
      <c r="K244" s="88"/>
      <c r="L244" s="203"/>
      <c r="M244" s="203"/>
      <c r="N244" s="201"/>
      <c r="O244" s="202"/>
      <c r="P244" s="88"/>
      <c r="Q244" s="203"/>
      <c r="R244" s="203"/>
      <c r="S244" s="87"/>
      <c r="T244" s="87"/>
      <c r="U244" s="88"/>
      <c r="V244" s="203"/>
      <c r="W244" s="203"/>
      <c r="X244" s="201"/>
      <c r="Y244" s="201"/>
      <c r="Z244" s="87"/>
      <c r="AA244" s="224"/>
      <c r="AB244" s="201"/>
      <c r="AC244" s="335"/>
      <c r="AD244" s="224"/>
      <c r="AE244" s="88"/>
      <c r="AF244" s="88"/>
      <c r="AG244" s="86"/>
      <c r="AH244" s="86"/>
      <c r="AI244" s="89"/>
      <c r="AJ244" s="86"/>
      <c r="AK244" s="86"/>
      <c r="AL244" s="86"/>
      <c r="AM244" s="86"/>
      <c r="AN244" s="86"/>
      <c r="AO244" s="86"/>
      <c r="AP244" s="115"/>
      <c r="AQ244" s="116"/>
      <c r="AR244" s="116"/>
      <c r="AS244" s="136"/>
      <c r="AT244" s="116"/>
      <c r="AU244" s="86"/>
      <c r="AV244" s="86"/>
      <c r="AW244" s="86"/>
      <c r="AX244" s="86"/>
      <c r="AY244" s="86"/>
      <c r="AZ244" s="90"/>
      <c r="BA244" s="90"/>
      <c r="BB244" s="86"/>
      <c r="BC244" s="116"/>
      <c r="BD244" s="116"/>
      <c r="BE244" s="116"/>
      <c r="BF244" s="86"/>
      <c r="BG244" s="91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261"/>
      <c r="CG244" s="337"/>
    </row>
    <row r="245" spans="1:85" s="263" customFormat="1" ht="15" x14ac:dyDescent="0.2">
      <c r="A245" s="84"/>
      <c r="B245" s="85"/>
      <c r="C245" s="84"/>
      <c r="D245" s="88"/>
      <c r="E245" s="88"/>
      <c r="F245" s="201"/>
      <c r="G245" s="88"/>
      <c r="H245" s="216"/>
      <c r="I245" s="220"/>
      <c r="J245" s="202"/>
      <c r="K245" s="88"/>
      <c r="L245" s="203"/>
      <c r="M245" s="203"/>
      <c r="N245" s="201"/>
      <c r="O245" s="202"/>
      <c r="P245" s="88"/>
      <c r="Q245" s="203"/>
      <c r="R245" s="203"/>
      <c r="S245" s="87"/>
      <c r="T245" s="87"/>
      <c r="U245" s="88"/>
      <c r="V245" s="203"/>
      <c r="W245" s="203"/>
      <c r="X245" s="201"/>
      <c r="Y245" s="201"/>
      <c r="Z245" s="87"/>
      <c r="AA245" s="224"/>
      <c r="AB245" s="201"/>
      <c r="AC245" s="335"/>
      <c r="AD245" s="224"/>
      <c r="AE245" s="88"/>
      <c r="AF245" s="88"/>
      <c r="AG245" s="86"/>
      <c r="AH245" s="86"/>
      <c r="AI245" s="89"/>
      <c r="AJ245" s="86"/>
      <c r="AK245" s="86"/>
      <c r="AL245" s="86"/>
      <c r="AM245" s="86"/>
      <c r="AN245" s="86"/>
      <c r="AO245" s="86"/>
      <c r="AP245" s="115"/>
      <c r="AQ245" s="116"/>
      <c r="AR245" s="116"/>
      <c r="AS245" s="136"/>
      <c r="AT245" s="116"/>
      <c r="AU245" s="86"/>
      <c r="AV245" s="86"/>
      <c r="AW245" s="86"/>
      <c r="AX245" s="86"/>
      <c r="AY245" s="86"/>
      <c r="AZ245" s="90"/>
      <c r="BA245" s="90"/>
      <c r="BB245" s="86"/>
      <c r="BC245" s="116"/>
      <c r="BD245" s="116"/>
      <c r="BE245" s="116"/>
      <c r="BF245" s="86"/>
      <c r="BG245" s="91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261"/>
      <c r="CG245" s="337"/>
    </row>
    <row r="246" spans="1:85" s="263" customFormat="1" ht="15" x14ac:dyDescent="0.2">
      <c r="A246" s="84"/>
      <c r="B246" s="85"/>
      <c r="C246" s="84"/>
      <c r="D246" s="88"/>
      <c r="E246" s="88"/>
      <c r="F246" s="201"/>
      <c r="G246" s="88"/>
      <c r="H246" s="216"/>
      <c r="I246" s="220"/>
      <c r="J246" s="202"/>
      <c r="K246" s="88"/>
      <c r="L246" s="203"/>
      <c r="M246" s="203"/>
      <c r="N246" s="201"/>
      <c r="O246" s="202"/>
      <c r="P246" s="88"/>
      <c r="Q246" s="203"/>
      <c r="R246" s="203"/>
      <c r="S246" s="87"/>
      <c r="T246" s="87"/>
      <c r="U246" s="88"/>
      <c r="V246" s="203"/>
      <c r="W246" s="203"/>
      <c r="X246" s="201"/>
      <c r="Y246" s="201"/>
      <c r="Z246" s="87"/>
      <c r="AA246" s="224"/>
      <c r="AB246" s="201"/>
      <c r="AC246" s="335"/>
      <c r="AD246" s="224"/>
      <c r="AE246" s="88"/>
      <c r="AF246" s="88"/>
      <c r="AG246" s="86"/>
      <c r="AH246" s="86"/>
      <c r="AI246" s="89"/>
      <c r="AJ246" s="86"/>
      <c r="AK246" s="86"/>
      <c r="AL246" s="86"/>
      <c r="AM246" s="86"/>
      <c r="AN246" s="86"/>
      <c r="AO246" s="86"/>
      <c r="AP246" s="115"/>
      <c r="AQ246" s="116"/>
      <c r="AR246" s="116"/>
      <c r="AS246" s="136"/>
      <c r="AT246" s="116"/>
      <c r="AU246" s="86"/>
      <c r="AV246" s="86"/>
      <c r="AW246" s="86"/>
      <c r="AX246" s="86"/>
      <c r="AY246" s="86"/>
      <c r="AZ246" s="90"/>
      <c r="BA246" s="90"/>
      <c r="BB246" s="86"/>
      <c r="BC246" s="116"/>
      <c r="BD246" s="116"/>
      <c r="BE246" s="116"/>
      <c r="BF246" s="86"/>
      <c r="BG246" s="91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261"/>
      <c r="CG246" s="337"/>
    </row>
    <row r="247" spans="1:85" s="263" customFormat="1" ht="15" x14ac:dyDescent="0.2">
      <c r="A247" s="84"/>
      <c r="B247" s="85"/>
      <c r="C247" s="84"/>
      <c r="D247" s="88"/>
      <c r="E247" s="88"/>
      <c r="F247" s="201"/>
      <c r="G247" s="88"/>
      <c r="H247" s="216"/>
      <c r="I247" s="220"/>
      <c r="J247" s="202"/>
      <c r="K247" s="88"/>
      <c r="L247" s="203"/>
      <c r="M247" s="203"/>
      <c r="N247" s="201"/>
      <c r="O247" s="202"/>
      <c r="P247" s="88"/>
      <c r="Q247" s="203"/>
      <c r="R247" s="203"/>
      <c r="S247" s="87"/>
      <c r="T247" s="87"/>
      <c r="U247" s="88"/>
      <c r="V247" s="203"/>
      <c r="W247" s="203"/>
      <c r="X247" s="201"/>
      <c r="Y247" s="201"/>
      <c r="Z247" s="87"/>
      <c r="AA247" s="224"/>
      <c r="AB247" s="201"/>
      <c r="AC247" s="335"/>
      <c r="AD247" s="224"/>
      <c r="AE247" s="88"/>
      <c r="AF247" s="88"/>
      <c r="AG247" s="86"/>
      <c r="AH247" s="86"/>
      <c r="AI247" s="89"/>
      <c r="AJ247" s="86"/>
      <c r="AK247" s="86"/>
      <c r="AL247" s="86"/>
      <c r="AM247" s="86"/>
      <c r="AN247" s="86"/>
      <c r="AO247" s="86"/>
      <c r="AP247" s="115"/>
      <c r="AQ247" s="116"/>
      <c r="AR247" s="116"/>
      <c r="AS247" s="136"/>
      <c r="AT247" s="116"/>
      <c r="AU247" s="86"/>
      <c r="AV247" s="86"/>
      <c r="AW247" s="86"/>
      <c r="AX247" s="86"/>
      <c r="AY247" s="86"/>
      <c r="AZ247" s="90"/>
      <c r="BA247" s="90"/>
      <c r="BB247" s="86"/>
      <c r="BC247" s="116"/>
      <c r="BD247" s="116"/>
      <c r="BE247" s="116"/>
      <c r="BF247" s="86"/>
      <c r="BG247" s="91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261"/>
      <c r="CG247" s="337"/>
    </row>
    <row r="248" spans="1:85" s="263" customFormat="1" ht="15" x14ac:dyDescent="0.2">
      <c r="A248" s="84"/>
      <c r="B248" s="85"/>
      <c r="C248" s="84"/>
      <c r="D248" s="88"/>
      <c r="E248" s="88"/>
      <c r="F248" s="201"/>
      <c r="G248" s="88"/>
      <c r="H248" s="216"/>
      <c r="I248" s="220"/>
      <c r="J248" s="202"/>
      <c r="K248" s="88"/>
      <c r="L248" s="203"/>
      <c r="M248" s="203"/>
      <c r="N248" s="201"/>
      <c r="O248" s="202"/>
      <c r="P248" s="88"/>
      <c r="Q248" s="203"/>
      <c r="R248" s="203"/>
      <c r="S248" s="87"/>
      <c r="T248" s="87"/>
      <c r="U248" s="88"/>
      <c r="V248" s="203"/>
      <c r="W248" s="203"/>
      <c r="X248" s="201"/>
      <c r="Y248" s="201"/>
      <c r="Z248" s="87"/>
      <c r="AA248" s="224"/>
      <c r="AB248" s="201"/>
      <c r="AC248" s="335"/>
      <c r="AD248" s="224"/>
      <c r="AE248" s="88"/>
      <c r="AF248" s="88"/>
      <c r="AG248" s="86"/>
      <c r="AH248" s="86"/>
      <c r="AI248" s="89"/>
      <c r="AJ248" s="86"/>
      <c r="AK248" s="86"/>
      <c r="AL248" s="86"/>
      <c r="AM248" s="86"/>
      <c r="AN248" s="86"/>
      <c r="AO248" s="86"/>
      <c r="AP248" s="115"/>
      <c r="AQ248" s="116"/>
      <c r="AR248" s="116"/>
      <c r="AS248" s="136"/>
      <c r="AT248" s="116"/>
      <c r="AU248" s="86"/>
      <c r="AV248" s="86"/>
      <c r="AW248" s="86"/>
      <c r="AX248" s="86"/>
      <c r="AY248" s="86"/>
      <c r="AZ248" s="90"/>
      <c r="BA248" s="90"/>
      <c r="BB248" s="86"/>
      <c r="BC248" s="116"/>
      <c r="BD248" s="116"/>
      <c r="BE248" s="116"/>
      <c r="BF248" s="86"/>
      <c r="BG248" s="91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261"/>
      <c r="CG248" s="337"/>
    </row>
    <row r="249" spans="1:85" s="263" customFormat="1" ht="15" x14ac:dyDescent="0.2">
      <c r="A249" s="84"/>
      <c r="B249" s="85"/>
      <c r="C249" s="84"/>
      <c r="D249" s="88"/>
      <c r="E249" s="88"/>
      <c r="F249" s="201"/>
      <c r="G249" s="88"/>
      <c r="H249" s="216"/>
      <c r="I249" s="220"/>
      <c r="J249" s="202"/>
      <c r="K249" s="88"/>
      <c r="L249" s="203"/>
      <c r="M249" s="203"/>
      <c r="N249" s="201"/>
      <c r="O249" s="202"/>
      <c r="P249" s="88"/>
      <c r="Q249" s="203"/>
      <c r="R249" s="203"/>
      <c r="S249" s="87"/>
      <c r="T249" s="87"/>
      <c r="U249" s="88"/>
      <c r="V249" s="203"/>
      <c r="W249" s="203"/>
      <c r="X249" s="201"/>
      <c r="Y249" s="201"/>
      <c r="Z249" s="87"/>
      <c r="AA249" s="224"/>
      <c r="AB249" s="201"/>
      <c r="AC249" s="335"/>
      <c r="AD249" s="224"/>
      <c r="AE249" s="88"/>
      <c r="AF249" s="88"/>
      <c r="AG249" s="86"/>
      <c r="AH249" s="86"/>
      <c r="AI249" s="89"/>
      <c r="AJ249" s="86"/>
      <c r="AK249" s="86"/>
      <c r="AL249" s="86"/>
      <c r="AM249" s="86"/>
      <c r="AN249" s="86"/>
      <c r="AO249" s="86"/>
      <c r="AP249" s="115"/>
      <c r="AQ249" s="116"/>
      <c r="AR249" s="116"/>
      <c r="AS249" s="136"/>
      <c r="AT249" s="116"/>
      <c r="AU249" s="86"/>
      <c r="AV249" s="86"/>
      <c r="AW249" s="86"/>
      <c r="AX249" s="86"/>
      <c r="AY249" s="86"/>
      <c r="AZ249" s="90"/>
      <c r="BA249" s="90"/>
      <c r="BB249" s="86"/>
      <c r="BC249" s="116"/>
      <c r="BD249" s="116"/>
      <c r="BE249" s="116"/>
      <c r="BF249" s="86"/>
      <c r="BG249" s="91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261"/>
      <c r="CG249" s="337"/>
    </row>
    <row r="250" spans="1:85" s="263" customFormat="1" ht="15" x14ac:dyDescent="0.2">
      <c r="A250" s="84"/>
      <c r="B250" s="85"/>
      <c r="C250" s="84"/>
      <c r="D250" s="88"/>
      <c r="E250" s="88"/>
      <c r="F250" s="201"/>
      <c r="G250" s="88"/>
      <c r="H250" s="216"/>
      <c r="I250" s="220"/>
      <c r="J250" s="202"/>
      <c r="K250" s="88"/>
      <c r="L250" s="203"/>
      <c r="M250" s="203"/>
      <c r="N250" s="201"/>
      <c r="O250" s="202"/>
      <c r="P250" s="88"/>
      <c r="Q250" s="203"/>
      <c r="R250" s="203"/>
      <c r="S250" s="87"/>
      <c r="T250" s="87"/>
      <c r="U250" s="88"/>
      <c r="V250" s="203"/>
      <c r="W250" s="203"/>
      <c r="X250" s="201"/>
      <c r="Y250" s="201"/>
      <c r="Z250" s="87"/>
      <c r="AA250" s="224"/>
      <c r="AB250" s="201"/>
      <c r="AC250" s="335"/>
      <c r="AD250" s="224"/>
      <c r="AE250" s="88"/>
      <c r="AF250" s="88"/>
      <c r="AG250" s="86"/>
      <c r="AH250" s="86"/>
      <c r="AI250" s="89"/>
      <c r="AJ250" s="86"/>
      <c r="AK250" s="86"/>
      <c r="AL250" s="86"/>
      <c r="AM250" s="86"/>
      <c r="AN250" s="86"/>
      <c r="AO250" s="86"/>
      <c r="AP250" s="115"/>
      <c r="AQ250" s="116"/>
      <c r="AR250" s="116"/>
      <c r="AS250" s="136"/>
      <c r="AT250" s="116"/>
      <c r="AU250" s="86"/>
      <c r="AV250" s="86"/>
      <c r="AW250" s="86"/>
      <c r="AX250" s="86"/>
      <c r="AY250" s="86"/>
      <c r="AZ250" s="90"/>
      <c r="BA250" s="90"/>
      <c r="BB250" s="86"/>
      <c r="BC250" s="116"/>
      <c r="BD250" s="116"/>
      <c r="BE250" s="116"/>
      <c r="BF250" s="86"/>
      <c r="BG250" s="91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261"/>
      <c r="CG250" s="337"/>
    </row>
    <row r="251" spans="1:85" s="263" customFormat="1" ht="15" x14ac:dyDescent="0.2">
      <c r="A251" s="84"/>
      <c r="B251" s="85"/>
      <c r="C251" s="84"/>
      <c r="D251" s="88"/>
      <c r="E251" s="88"/>
      <c r="F251" s="201"/>
      <c r="G251" s="88"/>
      <c r="H251" s="216"/>
      <c r="I251" s="220"/>
      <c r="J251" s="202"/>
      <c r="K251" s="88"/>
      <c r="L251" s="203"/>
      <c r="M251" s="203"/>
      <c r="N251" s="201"/>
      <c r="O251" s="202"/>
      <c r="P251" s="88"/>
      <c r="Q251" s="203"/>
      <c r="R251" s="203"/>
      <c r="S251" s="87"/>
      <c r="T251" s="87"/>
      <c r="U251" s="88"/>
      <c r="V251" s="203"/>
      <c r="W251" s="203"/>
      <c r="X251" s="201"/>
      <c r="Y251" s="201"/>
      <c r="Z251" s="87"/>
      <c r="AA251" s="224"/>
      <c r="AB251" s="201"/>
      <c r="AC251" s="335"/>
      <c r="AD251" s="224"/>
      <c r="AE251" s="88"/>
      <c r="AF251" s="88"/>
      <c r="AG251" s="86"/>
      <c r="AH251" s="86"/>
      <c r="AI251" s="89"/>
      <c r="AJ251" s="86"/>
      <c r="AK251" s="86"/>
      <c r="AL251" s="86"/>
      <c r="AM251" s="86"/>
      <c r="AN251" s="86"/>
      <c r="AO251" s="86"/>
      <c r="AP251" s="115"/>
      <c r="AQ251" s="116"/>
      <c r="AR251" s="116"/>
      <c r="AS251" s="136"/>
      <c r="AT251" s="116"/>
      <c r="AU251" s="86"/>
      <c r="AV251" s="86"/>
      <c r="AW251" s="86"/>
      <c r="AX251" s="86"/>
      <c r="AY251" s="86"/>
      <c r="AZ251" s="90"/>
      <c r="BA251" s="90"/>
      <c r="BB251" s="86"/>
      <c r="BC251" s="116"/>
      <c r="BD251" s="116"/>
      <c r="BE251" s="116"/>
      <c r="BF251" s="86"/>
      <c r="BG251" s="91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261"/>
      <c r="CG251" s="337"/>
    </row>
    <row r="252" spans="1:85" s="263" customFormat="1" ht="15" x14ac:dyDescent="0.2">
      <c r="A252" s="84"/>
      <c r="B252" s="85"/>
      <c r="C252" s="84"/>
      <c r="D252" s="88"/>
      <c r="E252" s="88"/>
      <c r="F252" s="201"/>
      <c r="G252" s="88"/>
      <c r="H252" s="216"/>
      <c r="I252" s="220"/>
      <c r="J252" s="202"/>
      <c r="K252" s="88"/>
      <c r="L252" s="203"/>
      <c r="M252" s="203"/>
      <c r="N252" s="201"/>
      <c r="O252" s="202"/>
      <c r="P252" s="88"/>
      <c r="Q252" s="203"/>
      <c r="R252" s="203"/>
      <c r="S252" s="87"/>
      <c r="T252" s="87"/>
      <c r="U252" s="88"/>
      <c r="V252" s="203"/>
      <c r="W252" s="203"/>
      <c r="X252" s="201"/>
      <c r="Y252" s="201"/>
      <c r="Z252" s="87"/>
      <c r="AA252" s="224"/>
      <c r="AB252" s="201"/>
      <c r="AC252" s="335"/>
      <c r="AD252" s="224"/>
      <c r="AE252" s="88"/>
      <c r="AF252" s="88"/>
      <c r="AG252" s="86"/>
      <c r="AH252" s="86"/>
      <c r="AI252" s="89"/>
      <c r="AJ252" s="86"/>
      <c r="AK252" s="86"/>
      <c r="AL252" s="86"/>
      <c r="AM252" s="86"/>
      <c r="AN252" s="86"/>
      <c r="AO252" s="86"/>
      <c r="AP252" s="115"/>
      <c r="AQ252" s="116"/>
      <c r="AR252" s="116"/>
      <c r="AS252" s="136"/>
      <c r="AT252" s="116"/>
      <c r="AU252" s="86"/>
      <c r="AV252" s="86"/>
      <c r="AW252" s="86"/>
      <c r="AX252" s="86"/>
      <c r="AY252" s="86"/>
      <c r="AZ252" s="90"/>
      <c r="BA252" s="90"/>
      <c r="BB252" s="86"/>
      <c r="BC252" s="116"/>
      <c r="BD252" s="116"/>
      <c r="BE252" s="116"/>
      <c r="BF252" s="86"/>
      <c r="BG252" s="91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261"/>
      <c r="CG252" s="337"/>
    </row>
    <row r="253" spans="1:85" s="263" customFormat="1" ht="15" x14ac:dyDescent="0.2">
      <c r="A253" s="84"/>
      <c r="B253" s="85"/>
      <c r="C253" s="84"/>
      <c r="D253" s="88"/>
      <c r="E253" s="88"/>
      <c r="F253" s="201"/>
      <c r="G253" s="88"/>
      <c r="H253" s="216"/>
      <c r="I253" s="220"/>
      <c r="J253" s="202"/>
      <c r="K253" s="88"/>
      <c r="L253" s="203"/>
      <c r="M253" s="203"/>
      <c r="N253" s="201"/>
      <c r="O253" s="202"/>
      <c r="P253" s="88"/>
      <c r="Q253" s="203"/>
      <c r="R253" s="203"/>
      <c r="S253" s="87"/>
      <c r="T253" s="87"/>
      <c r="U253" s="88"/>
      <c r="V253" s="203"/>
      <c r="W253" s="203"/>
      <c r="X253" s="201"/>
      <c r="Y253" s="201"/>
      <c r="Z253" s="87"/>
      <c r="AA253" s="224"/>
      <c r="AB253" s="201"/>
      <c r="AC253" s="335"/>
      <c r="AD253" s="224"/>
      <c r="AE253" s="88"/>
      <c r="AF253" s="88"/>
      <c r="AG253" s="86"/>
      <c r="AH253" s="86"/>
      <c r="AI253" s="89"/>
      <c r="AJ253" s="86"/>
      <c r="AK253" s="86"/>
      <c r="AL253" s="86"/>
      <c r="AM253" s="86"/>
      <c r="AN253" s="86"/>
      <c r="AO253" s="86"/>
      <c r="AP253" s="115"/>
      <c r="AQ253" s="116"/>
      <c r="AR253" s="116"/>
      <c r="AS253" s="136"/>
      <c r="AT253" s="116"/>
      <c r="AU253" s="86"/>
      <c r="AV253" s="86"/>
      <c r="AW253" s="86"/>
      <c r="AX253" s="86"/>
      <c r="AY253" s="86"/>
      <c r="AZ253" s="90"/>
      <c r="BA253" s="90"/>
      <c r="BB253" s="86"/>
      <c r="BC253" s="116"/>
      <c r="BD253" s="116"/>
      <c r="BE253" s="116"/>
      <c r="BF253" s="86"/>
      <c r="BG253" s="91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261"/>
      <c r="CG253" s="337"/>
    </row>
    <row r="254" spans="1:85" s="263" customFormat="1" ht="15" x14ac:dyDescent="0.2">
      <c r="A254" s="84"/>
      <c r="B254" s="85"/>
      <c r="C254" s="84"/>
      <c r="D254" s="88"/>
      <c r="E254" s="88"/>
      <c r="F254" s="201"/>
      <c r="G254" s="88"/>
      <c r="H254" s="216"/>
      <c r="I254" s="220"/>
      <c r="J254" s="202"/>
      <c r="K254" s="88"/>
      <c r="L254" s="203"/>
      <c r="M254" s="203"/>
      <c r="N254" s="201"/>
      <c r="O254" s="202"/>
      <c r="P254" s="88"/>
      <c r="Q254" s="203"/>
      <c r="R254" s="203"/>
      <c r="S254" s="87"/>
      <c r="T254" s="87"/>
      <c r="U254" s="88"/>
      <c r="V254" s="203"/>
      <c r="W254" s="203"/>
      <c r="X254" s="201"/>
      <c r="Y254" s="201"/>
      <c r="Z254" s="87"/>
      <c r="AA254" s="224"/>
      <c r="AB254" s="201"/>
      <c r="AC254" s="335"/>
      <c r="AD254" s="224"/>
      <c r="AE254" s="88"/>
      <c r="AF254" s="88"/>
      <c r="AG254" s="86"/>
      <c r="AH254" s="86"/>
      <c r="AI254" s="89"/>
      <c r="AJ254" s="86"/>
      <c r="AK254" s="86"/>
      <c r="AL254" s="86"/>
      <c r="AM254" s="86"/>
      <c r="AN254" s="86"/>
      <c r="AO254" s="86"/>
      <c r="AP254" s="115"/>
      <c r="AQ254" s="116"/>
      <c r="AR254" s="116"/>
      <c r="AS254" s="136"/>
      <c r="AT254" s="116"/>
      <c r="AU254" s="86"/>
      <c r="AV254" s="86"/>
      <c r="AW254" s="86"/>
      <c r="AX254" s="86"/>
      <c r="AY254" s="86"/>
      <c r="AZ254" s="90"/>
      <c r="BA254" s="90"/>
      <c r="BB254" s="86"/>
      <c r="BC254" s="116"/>
      <c r="BD254" s="116"/>
      <c r="BE254" s="116"/>
      <c r="BF254" s="86"/>
      <c r="BG254" s="91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261"/>
      <c r="CG254" s="337"/>
    </row>
    <row r="255" spans="1:85" s="263" customFormat="1" ht="15" x14ac:dyDescent="0.2">
      <c r="A255" s="84"/>
      <c r="B255" s="85"/>
      <c r="C255" s="84"/>
      <c r="D255" s="88"/>
      <c r="E255" s="88"/>
      <c r="F255" s="201"/>
      <c r="G255" s="88"/>
      <c r="H255" s="216"/>
      <c r="I255" s="220"/>
      <c r="J255" s="202"/>
      <c r="K255" s="88"/>
      <c r="L255" s="203"/>
      <c r="M255" s="203"/>
      <c r="N255" s="201"/>
      <c r="O255" s="202"/>
      <c r="P255" s="88"/>
      <c r="Q255" s="203"/>
      <c r="R255" s="203"/>
      <c r="S255" s="87"/>
      <c r="T255" s="87"/>
      <c r="U255" s="88"/>
      <c r="V255" s="203"/>
      <c r="W255" s="203"/>
      <c r="X255" s="201"/>
      <c r="Y255" s="201"/>
      <c r="Z255" s="87"/>
      <c r="AA255" s="224"/>
      <c r="AB255" s="201"/>
      <c r="AC255" s="335"/>
      <c r="AD255" s="224"/>
      <c r="AE255" s="88"/>
      <c r="AF255" s="88"/>
      <c r="AG255" s="86"/>
      <c r="AH255" s="86"/>
      <c r="AI255" s="89"/>
      <c r="AJ255" s="86"/>
      <c r="AK255" s="86"/>
      <c r="AL255" s="86"/>
      <c r="AM255" s="86"/>
      <c r="AN255" s="86"/>
      <c r="AO255" s="86"/>
      <c r="AP255" s="115"/>
      <c r="AQ255" s="116"/>
      <c r="AR255" s="116"/>
      <c r="AS255" s="136"/>
      <c r="AT255" s="116"/>
      <c r="AU255" s="86"/>
      <c r="AV255" s="86"/>
      <c r="AW255" s="86"/>
      <c r="AX255" s="86"/>
      <c r="AY255" s="86"/>
      <c r="AZ255" s="90"/>
      <c r="BA255" s="90"/>
      <c r="BB255" s="86"/>
      <c r="BC255" s="116"/>
      <c r="BD255" s="116"/>
      <c r="BE255" s="116"/>
      <c r="BF255" s="86"/>
      <c r="BG255" s="91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261"/>
      <c r="CG255" s="337"/>
    </row>
    <row r="256" spans="1:85" s="263" customFormat="1" ht="15" x14ac:dyDescent="0.2">
      <c r="A256" s="84"/>
      <c r="B256" s="85"/>
      <c r="C256" s="84"/>
      <c r="D256" s="88"/>
      <c r="E256" s="88"/>
      <c r="F256" s="201"/>
      <c r="G256" s="88"/>
      <c r="H256" s="216"/>
      <c r="I256" s="220"/>
      <c r="J256" s="202"/>
      <c r="K256" s="88"/>
      <c r="L256" s="203"/>
      <c r="M256" s="203"/>
      <c r="N256" s="201"/>
      <c r="O256" s="202"/>
      <c r="P256" s="88"/>
      <c r="Q256" s="203"/>
      <c r="R256" s="203"/>
      <c r="S256" s="87"/>
      <c r="T256" s="87"/>
      <c r="U256" s="88"/>
      <c r="V256" s="203"/>
      <c r="W256" s="203"/>
      <c r="X256" s="201"/>
      <c r="Y256" s="201"/>
      <c r="Z256" s="87"/>
      <c r="AA256" s="224"/>
      <c r="AB256" s="201"/>
      <c r="AC256" s="335"/>
      <c r="AD256" s="224"/>
      <c r="AE256" s="88"/>
      <c r="AF256" s="88"/>
      <c r="AG256" s="86"/>
      <c r="AH256" s="86"/>
      <c r="AI256" s="89"/>
      <c r="AJ256" s="86"/>
      <c r="AK256" s="86"/>
      <c r="AL256" s="86"/>
      <c r="AM256" s="86"/>
      <c r="AN256" s="86"/>
      <c r="AO256" s="86"/>
      <c r="AP256" s="115"/>
      <c r="AQ256" s="116"/>
      <c r="AR256" s="116"/>
      <c r="AS256" s="136"/>
      <c r="AT256" s="116"/>
      <c r="AU256" s="86"/>
      <c r="AV256" s="86"/>
      <c r="AW256" s="86"/>
      <c r="AX256" s="86"/>
      <c r="AY256" s="86"/>
      <c r="AZ256" s="90"/>
      <c r="BA256" s="90"/>
      <c r="BB256" s="86"/>
      <c r="BC256" s="116"/>
      <c r="BD256" s="116"/>
      <c r="BE256" s="116"/>
      <c r="BF256" s="86"/>
      <c r="BG256" s="91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261"/>
      <c r="CG256" s="337"/>
    </row>
    <row r="257" spans="1:85" s="263" customFormat="1" ht="15" x14ac:dyDescent="0.2">
      <c r="A257" s="84"/>
      <c r="B257" s="85"/>
      <c r="C257" s="84"/>
      <c r="D257" s="88"/>
      <c r="E257" s="88"/>
      <c r="F257" s="201"/>
      <c r="G257" s="88"/>
      <c r="H257" s="216"/>
      <c r="I257" s="220"/>
      <c r="J257" s="202"/>
      <c r="K257" s="88"/>
      <c r="L257" s="203"/>
      <c r="M257" s="203"/>
      <c r="N257" s="201"/>
      <c r="O257" s="202"/>
      <c r="P257" s="88"/>
      <c r="Q257" s="203"/>
      <c r="R257" s="203"/>
      <c r="S257" s="87"/>
      <c r="T257" s="87"/>
      <c r="U257" s="88"/>
      <c r="V257" s="203"/>
      <c r="W257" s="203"/>
      <c r="X257" s="201"/>
      <c r="Y257" s="201"/>
      <c r="Z257" s="87"/>
      <c r="AA257" s="224"/>
      <c r="AB257" s="201"/>
      <c r="AC257" s="335"/>
      <c r="AD257" s="224"/>
      <c r="AE257" s="88"/>
      <c r="AF257" s="88"/>
      <c r="AG257" s="86"/>
      <c r="AH257" s="86"/>
      <c r="AI257" s="89"/>
      <c r="AJ257" s="86"/>
      <c r="AK257" s="86"/>
      <c r="AL257" s="86"/>
      <c r="AM257" s="86"/>
      <c r="AN257" s="86"/>
      <c r="AO257" s="86"/>
      <c r="AP257" s="115"/>
      <c r="AQ257" s="116"/>
      <c r="AR257" s="116"/>
      <c r="AS257" s="136"/>
      <c r="AT257" s="116"/>
      <c r="AU257" s="86"/>
      <c r="AV257" s="86"/>
      <c r="AW257" s="86"/>
      <c r="AX257" s="86"/>
      <c r="AY257" s="86"/>
      <c r="AZ257" s="90"/>
      <c r="BA257" s="90"/>
      <c r="BB257" s="86"/>
      <c r="BC257" s="116"/>
      <c r="BD257" s="116"/>
      <c r="BE257" s="116"/>
      <c r="BF257" s="86"/>
      <c r="BG257" s="91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261"/>
      <c r="CG257" s="337"/>
    </row>
    <row r="258" spans="1:85" s="263" customFormat="1" ht="15" x14ac:dyDescent="0.2">
      <c r="A258" s="84"/>
      <c r="B258" s="85"/>
      <c r="C258" s="84"/>
      <c r="D258" s="88"/>
      <c r="E258" s="88"/>
      <c r="F258" s="201"/>
      <c r="G258" s="88"/>
      <c r="H258" s="216"/>
      <c r="I258" s="220"/>
      <c r="J258" s="202"/>
      <c r="K258" s="88"/>
      <c r="L258" s="203"/>
      <c r="M258" s="203"/>
      <c r="N258" s="201"/>
      <c r="O258" s="202"/>
      <c r="P258" s="88"/>
      <c r="Q258" s="203"/>
      <c r="R258" s="203"/>
      <c r="S258" s="87"/>
      <c r="T258" s="87"/>
      <c r="U258" s="88"/>
      <c r="V258" s="203"/>
      <c r="W258" s="203"/>
      <c r="X258" s="201"/>
      <c r="Y258" s="201"/>
      <c r="Z258" s="87"/>
      <c r="AA258" s="224"/>
      <c r="AB258" s="201"/>
      <c r="AC258" s="335"/>
      <c r="AD258" s="224"/>
      <c r="AE258" s="88"/>
      <c r="AF258" s="88"/>
      <c r="AG258" s="86"/>
      <c r="AH258" s="86"/>
      <c r="AI258" s="89"/>
      <c r="AJ258" s="86"/>
      <c r="AK258" s="86"/>
      <c r="AL258" s="86"/>
      <c r="AM258" s="86"/>
      <c r="AN258" s="86"/>
      <c r="AO258" s="86"/>
      <c r="AP258" s="115"/>
      <c r="AQ258" s="116"/>
      <c r="AR258" s="116"/>
      <c r="AS258" s="136"/>
      <c r="AT258" s="116"/>
      <c r="AU258" s="86"/>
      <c r="AV258" s="86"/>
      <c r="AW258" s="86"/>
      <c r="AX258" s="86"/>
      <c r="AY258" s="86"/>
      <c r="AZ258" s="90"/>
      <c r="BA258" s="90"/>
      <c r="BB258" s="86"/>
      <c r="BC258" s="116"/>
      <c r="BD258" s="116"/>
      <c r="BE258" s="116"/>
      <c r="BF258" s="86"/>
      <c r="BG258" s="91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261"/>
      <c r="CG258" s="337"/>
    </row>
    <row r="259" spans="1:85" s="263" customFormat="1" ht="15" x14ac:dyDescent="0.2">
      <c r="A259" s="84"/>
      <c r="B259" s="85"/>
      <c r="C259" s="84"/>
      <c r="D259" s="88"/>
      <c r="E259" s="88"/>
      <c r="F259" s="201"/>
      <c r="G259" s="88"/>
      <c r="H259" s="216"/>
      <c r="I259" s="220"/>
      <c r="J259" s="202"/>
      <c r="K259" s="88"/>
      <c r="L259" s="203"/>
      <c r="M259" s="203"/>
      <c r="N259" s="201"/>
      <c r="O259" s="202"/>
      <c r="P259" s="88"/>
      <c r="Q259" s="203"/>
      <c r="R259" s="203"/>
      <c r="S259" s="87"/>
      <c r="T259" s="87"/>
      <c r="U259" s="88"/>
      <c r="V259" s="203"/>
      <c r="W259" s="203"/>
      <c r="X259" s="201"/>
      <c r="Y259" s="201"/>
      <c r="Z259" s="87"/>
      <c r="AA259" s="224"/>
      <c r="AB259" s="201"/>
      <c r="AC259" s="335"/>
      <c r="AD259" s="224"/>
      <c r="AE259" s="88"/>
      <c r="AF259" s="88"/>
      <c r="AG259" s="86"/>
      <c r="AH259" s="86"/>
      <c r="AI259" s="89"/>
      <c r="AJ259" s="86"/>
      <c r="AK259" s="86"/>
      <c r="AL259" s="86"/>
      <c r="AM259" s="86"/>
      <c r="AN259" s="86"/>
      <c r="AO259" s="86"/>
      <c r="AP259" s="115"/>
      <c r="AQ259" s="116"/>
      <c r="AR259" s="116"/>
      <c r="AS259" s="136"/>
      <c r="AT259" s="116"/>
      <c r="AU259" s="86"/>
      <c r="AV259" s="86"/>
      <c r="AW259" s="86"/>
      <c r="AX259" s="86"/>
      <c r="AY259" s="86"/>
      <c r="AZ259" s="90"/>
      <c r="BA259" s="90"/>
      <c r="BB259" s="86"/>
      <c r="BC259" s="116"/>
      <c r="BD259" s="116"/>
      <c r="BE259" s="116"/>
      <c r="BF259" s="86"/>
      <c r="BG259" s="91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261"/>
      <c r="CG259" s="337"/>
    </row>
    <row r="260" spans="1:85" s="263" customFormat="1" ht="15" x14ac:dyDescent="0.2">
      <c r="A260" s="84"/>
      <c r="B260" s="85"/>
      <c r="C260" s="84"/>
      <c r="D260" s="88"/>
      <c r="E260" s="88"/>
      <c r="F260" s="201"/>
      <c r="G260" s="88"/>
      <c r="H260" s="216"/>
      <c r="I260" s="220"/>
      <c r="J260" s="202"/>
      <c r="K260" s="88"/>
      <c r="L260" s="203"/>
      <c r="M260" s="203"/>
      <c r="N260" s="201"/>
      <c r="O260" s="202"/>
      <c r="P260" s="88"/>
      <c r="Q260" s="203"/>
      <c r="R260" s="203"/>
      <c r="S260" s="87"/>
      <c r="T260" s="87"/>
      <c r="U260" s="88"/>
      <c r="V260" s="203"/>
      <c r="W260" s="203"/>
      <c r="X260" s="201"/>
      <c r="Y260" s="201"/>
      <c r="Z260" s="87"/>
      <c r="AA260" s="224"/>
      <c r="AB260" s="201"/>
      <c r="AC260" s="335"/>
      <c r="AD260" s="224"/>
      <c r="AE260" s="88"/>
      <c r="AF260" s="88"/>
      <c r="AG260" s="86"/>
      <c r="AH260" s="86"/>
      <c r="AI260" s="89"/>
      <c r="AJ260" s="86"/>
      <c r="AK260" s="86"/>
      <c r="AL260" s="86"/>
      <c r="AM260" s="86"/>
      <c r="AN260" s="86"/>
      <c r="AO260" s="86"/>
      <c r="AP260" s="115"/>
      <c r="AQ260" s="116"/>
      <c r="AR260" s="116"/>
      <c r="AS260" s="136"/>
      <c r="AT260" s="116"/>
      <c r="AU260" s="86"/>
      <c r="AV260" s="86"/>
      <c r="AW260" s="86"/>
      <c r="AX260" s="86"/>
      <c r="AY260" s="86"/>
      <c r="AZ260" s="90"/>
      <c r="BA260" s="90"/>
      <c r="BB260" s="86"/>
      <c r="BC260" s="116"/>
      <c r="BD260" s="116"/>
      <c r="BE260" s="116"/>
      <c r="BF260" s="86"/>
      <c r="BG260" s="91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261"/>
      <c r="CG260" s="337"/>
    </row>
    <row r="261" spans="1:85" s="263" customFormat="1" ht="15" x14ac:dyDescent="0.2">
      <c r="A261" s="84"/>
      <c r="B261" s="85"/>
      <c r="C261" s="84"/>
      <c r="D261" s="88"/>
      <c r="E261" s="88"/>
      <c r="F261" s="201"/>
      <c r="G261" s="88"/>
      <c r="H261" s="216"/>
      <c r="I261" s="220"/>
      <c r="J261" s="202"/>
      <c r="K261" s="88"/>
      <c r="L261" s="203"/>
      <c r="M261" s="203"/>
      <c r="N261" s="201"/>
      <c r="O261" s="202"/>
      <c r="P261" s="88"/>
      <c r="Q261" s="203"/>
      <c r="R261" s="203"/>
      <c r="S261" s="87"/>
      <c r="T261" s="87"/>
      <c r="U261" s="88"/>
      <c r="V261" s="203"/>
      <c r="W261" s="203"/>
      <c r="X261" s="201"/>
      <c r="Y261" s="201"/>
      <c r="Z261" s="87"/>
      <c r="AA261" s="224"/>
      <c r="AB261" s="201"/>
      <c r="AC261" s="335"/>
      <c r="AD261" s="224"/>
      <c r="AE261" s="88"/>
      <c r="AF261" s="88"/>
      <c r="AG261" s="86"/>
      <c r="AH261" s="86"/>
      <c r="AI261" s="89"/>
      <c r="AJ261" s="86"/>
      <c r="AK261" s="86"/>
      <c r="AL261" s="86"/>
      <c r="AM261" s="86"/>
      <c r="AN261" s="86"/>
      <c r="AO261" s="86"/>
      <c r="AP261" s="115"/>
      <c r="AQ261" s="116"/>
      <c r="AR261" s="116"/>
      <c r="AS261" s="136"/>
      <c r="AT261" s="116"/>
      <c r="AU261" s="86"/>
      <c r="AV261" s="86"/>
      <c r="AW261" s="86"/>
      <c r="AX261" s="86"/>
      <c r="AY261" s="86"/>
      <c r="AZ261" s="90"/>
      <c r="BA261" s="90"/>
      <c r="BB261" s="86"/>
      <c r="BC261" s="116"/>
      <c r="BD261" s="116"/>
      <c r="BE261" s="116"/>
      <c r="BF261" s="86"/>
      <c r="BG261" s="91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261"/>
      <c r="CG261" s="337"/>
    </row>
    <row r="262" spans="1:85" s="263" customFormat="1" ht="15" x14ac:dyDescent="0.2">
      <c r="A262" s="276"/>
      <c r="B262" s="277"/>
      <c r="C262" s="276"/>
      <c r="D262" s="278"/>
      <c r="E262" s="278"/>
      <c r="F262" s="279"/>
      <c r="G262" s="278"/>
      <c r="H262" s="280"/>
      <c r="I262" s="281"/>
      <c r="J262" s="282"/>
      <c r="K262" s="278"/>
      <c r="L262" s="283"/>
      <c r="M262" s="283"/>
      <c r="N262" s="279"/>
      <c r="O262" s="282"/>
      <c r="P262" s="88"/>
      <c r="Q262" s="203"/>
      <c r="R262" s="203"/>
      <c r="S262" s="87"/>
      <c r="T262" s="87"/>
      <c r="U262" s="88"/>
      <c r="V262" s="283"/>
      <c r="W262" s="283"/>
      <c r="X262" s="279"/>
      <c r="Y262" s="279"/>
      <c r="Z262" s="284"/>
      <c r="AA262" s="285"/>
      <c r="AB262" s="279"/>
      <c r="AC262" s="335"/>
      <c r="AD262" s="285"/>
      <c r="AE262" s="278"/>
      <c r="AF262" s="278"/>
      <c r="AG262" s="286"/>
      <c r="AH262" s="286"/>
      <c r="AI262" s="287"/>
      <c r="AJ262" s="286"/>
      <c r="AK262" s="286"/>
      <c r="AL262" s="286"/>
      <c r="AM262" s="286"/>
      <c r="AN262" s="286"/>
      <c r="AO262" s="286"/>
      <c r="AP262" s="288"/>
      <c r="AQ262" s="289"/>
      <c r="AR262" s="289"/>
      <c r="AS262" s="290"/>
      <c r="AT262" s="289"/>
      <c r="AU262" s="286"/>
      <c r="AV262" s="286"/>
      <c r="AW262" s="286"/>
      <c r="AX262" s="286"/>
      <c r="AY262" s="286"/>
      <c r="AZ262" s="291"/>
      <c r="BA262" s="291"/>
      <c r="BB262" s="286"/>
      <c r="BC262" s="289"/>
      <c r="BD262" s="289"/>
      <c r="BE262" s="289"/>
      <c r="BF262" s="286"/>
      <c r="BG262" s="292"/>
      <c r="BH262" s="286"/>
      <c r="BI262" s="286"/>
      <c r="BJ262" s="286"/>
      <c r="BK262" s="286"/>
      <c r="BL262" s="286"/>
      <c r="BM262" s="286"/>
      <c r="BN262" s="286"/>
      <c r="BO262" s="286"/>
      <c r="BP262" s="286"/>
      <c r="BQ262" s="286"/>
      <c r="BR262" s="286"/>
      <c r="BS262" s="286"/>
      <c r="BT262" s="286"/>
      <c r="BU262" s="286"/>
      <c r="BV262" s="286"/>
      <c r="BW262" s="286"/>
      <c r="BX262" s="286"/>
      <c r="BY262" s="286"/>
      <c r="BZ262" s="286"/>
      <c r="CA262" s="286"/>
      <c r="CB262" s="286"/>
      <c r="CC262" s="286"/>
      <c r="CD262" s="286"/>
      <c r="CE262" s="286"/>
      <c r="CF262" s="293"/>
      <c r="CG262" s="337"/>
    </row>
  </sheetData>
  <sortState xmlns:xlrd2="http://schemas.microsoft.com/office/spreadsheetml/2017/richdata2" ref="A13:XFD32">
    <sortCondition ref="AH13"/>
  </sortState>
  <mergeCells count="17">
    <mergeCell ref="H1:H3"/>
    <mergeCell ref="AJ10:AL10"/>
    <mergeCell ref="AV10:AX10"/>
    <mergeCell ref="C3:D3"/>
    <mergeCell ref="A1:F1"/>
    <mergeCell ref="D2:E2"/>
    <mergeCell ref="A3:B3"/>
    <mergeCell ref="A2:C2"/>
    <mergeCell ref="A4:B4"/>
    <mergeCell ref="A5:B5"/>
    <mergeCell ref="A6:B6"/>
    <mergeCell ref="C4:D4"/>
    <mergeCell ref="E4:F4"/>
    <mergeCell ref="C5:D5"/>
    <mergeCell ref="E5:F5"/>
    <mergeCell ref="C6:D6"/>
    <mergeCell ref="E6:F6"/>
  </mergeCells>
  <phoneticPr fontId="72"/>
  <conditionalFormatting sqref="A12:A118">
    <cfRule type="expression" dxfId="132" priority="1991" stopIfTrue="1">
      <formula>AND($AH12=0)</formula>
    </cfRule>
  </conditionalFormatting>
  <conditionalFormatting sqref="L12:M262">
    <cfRule type="expression" dxfId="131" priority="2455">
      <formula>AND($BG12&lt;$BH$9,L12="",$BG12&gt;0,K12&lt;&gt;"")</formula>
    </cfRule>
  </conditionalFormatting>
  <conditionalFormatting sqref="A6:B6">
    <cfRule type="expression" dxfId="130" priority="2291">
      <formula>AND(A6="O")</formula>
    </cfRule>
  </conditionalFormatting>
  <conditionalFormatting sqref="G3 H1">
    <cfRule type="expression" dxfId="129" priority="2289">
      <formula>AND(G1="Record Attempt")</formula>
    </cfRule>
  </conditionalFormatting>
  <conditionalFormatting sqref="G7">
    <cfRule type="expression" dxfId="128" priority="2233">
      <formula>AND($F$7="Delay")</formula>
    </cfRule>
  </conditionalFormatting>
  <conditionalFormatting sqref="C5:F6">
    <cfRule type="expression" dxfId="127" priority="2232">
      <formula>AND(C5=10000)</formula>
    </cfRule>
  </conditionalFormatting>
  <conditionalFormatting sqref="C5:D6">
    <cfRule type="expression" dxfId="126" priority="2178" stopIfTrue="1">
      <formula>AND($C$3&gt;=$C5+$G$8,C5&lt;10000)</formula>
    </cfRule>
  </conditionalFormatting>
  <conditionalFormatting sqref="E5:F5">
    <cfRule type="expression" dxfId="125" priority="2173" stopIfTrue="1">
      <formula>AND($G$9&gt;=$E$5)</formula>
    </cfRule>
  </conditionalFormatting>
  <conditionalFormatting sqref="U12:W118 P12:R118 K12:M118">
    <cfRule type="expression" dxfId="124" priority="1106" stopIfTrue="1">
      <formula>AND(ROW(K12)=$BK$11,COLUMN(K12)=$BM$11)</formula>
    </cfRule>
  </conditionalFormatting>
  <conditionalFormatting sqref="K11:Y11">
    <cfRule type="expression" dxfId="123" priority="2172">
      <formula>AND(K11=$BN$11)</formula>
    </cfRule>
  </conditionalFormatting>
  <conditionalFormatting sqref="P12:R118 U12:W118 K12:M118">
    <cfRule type="expression" dxfId="122" priority="1107">
      <formula>AND(CELL("color",K12)=1,K12&lt;0,OR(AND(COLUMN(K12)=$BM$11,ROW(K12)&lt;=$BK$11),AND(COLUMN(K12)&lt;=$BM$11,ROW(K12)=$BK$11)))</formula>
    </cfRule>
    <cfRule type="expression" dxfId="121" priority="2168">
      <formula>AND(CELL("color",K12)=1,K12&gt;0,OR(AND(COLUMN(K12)=$BM$11,ROW(K12)&lt;=$BK$11),AND(COLUMN(K12)&lt;=$BM$11,ROW(K12)=$BK$11)))</formula>
    </cfRule>
  </conditionalFormatting>
  <conditionalFormatting sqref="D12:D118">
    <cfRule type="expression" dxfId="120" priority="2206">
      <formula>ISERROR(MATCH(D12,INDIRECT($D$10),0))</formula>
    </cfRule>
  </conditionalFormatting>
  <conditionalFormatting sqref="E6:F6">
    <cfRule type="expression" dxfId="119" priority="1287">
      <formula>AND(G9&gt;$E$6+$G$8)</formula>
    </cfRule>
  </conditionalFormatting>
  <conditionalFormatting sqref="Y12:Y118">
    <cfRule type="expression" dxfId="118" priority="3248">
      <formula>AND($AN12=1)</formula>
    </cfRule>
  </conditionalFormatting>
  <conditionalFormatting sqref="C12:BE262">
    <cfRule type="expression" dxfId="117" priority="3251" stopIfTrue="1">
      <formula>AND($AN12&lt;&gt;4,ROW(C12)=$BK$11)</formula>
    </cfRule>
  </conditionalFormatting>
  <conditionalFormatting sqref="Z12:AC262">
    <cfRule type="expression" dxfId="116" priority="3257">
      <formula>AND($AN12&lt;&gt;4,$D12=$BO$11,$F12=$BP$11)</formula>
    </cfRule>
  </conditionalFormatting>
  <conditionalFormatting sqref="K12:W118">
    <cfRule type="expression" dxfId="115" priority="940" stopIfTrue="1">
      <formula>AND(K12&lt;0)</formula>
    </cfRule>
  </conditionalFormatting>
  <conditionalFormatting sqref="AC12:AC262">
    <cfRule type="expression" dxfId="114" priority="840" stopIfTrue="1">
      <formula>AND($AN12=2)</formula>
    </cfRule>
  </conditionalFormatting>
  <conditionalFormatting sqref="A245:A262">
    <cfRule type="expression" dxfId="113" priority="525" stopIfTrue="1">
      <formula>AND($AH245=0)</formula>
    </cfRule>
  </conditionalFormatting>
  <conditionalFormatting sqref="U245:W262 P245:R262 K245:M262">
    <cfRule type="expression" dxfId="112" priority="523" stopIfTrue="1">
      <formula>AND(ROW(K245)=$BK$11,COLUMN(K245)=$BM$11)</formula>
    </cfRule>
  </conditionalFormatting>
  <conditionalFormatting sqref="P245:R262 U245:W262 K245:M262">
    <cfRule type="expression" dxfId="111" priority="524">
      <formula>AND(CELL("color",K245)=1,K245&lt;0,OR(AND(COLUMN(K245)=$BM$11,ROW(K245)&lt;=$BK$11),AND(COLUMN(K245)&lt;=$BM$11,ROW(K245)=$BK$11)))</formula>
    </cfRule>
    <cfRule type="expression" dxfId="110" priority="526">
      <formula>AND(CELL("color",K245)=1,K245&gt;0,OR(AND(COLUMN(K245)=$BM$11,ROW(K245)&lt;=$BK$11),AND(COLUMN(K245)&lt;=$BM$11,ROW(K245)=$BK$11)))</formula>
    </cfRule>
  </conditionalFormatting>
  <conditionalFormatting sqref="D245:D262">
    <cfRule type="expression" dxfId="109" priority="529">
      <formula>ISERROR(MATCH(D245,INDIRECT($D$10),0))</formula>
    </cfRule>
  </conditionalFormatting>
  <conditionalFormatting sqref="Y245:Y262">
    <cfRule type="expression" dxfId="108" priority="531">
      <formula>AND($AN245=1)</formula>
    </cfRule>
  </conditionalFormatting>
  <conditionalFormatting sqref="K245:W262">
    <cfRule type="expression" dxfId="107" priority="522" stopIfTrue="1">
      <formula>AND(K245&lt;0)</formula>
    </cfRule>
  </conditionalFormatting>
  <conditionalFormatting sqref="A227:A244">
    <cfRule type="expression" dxfId="106" priority="508" stopIfTrue="1">
      <formula>AND($AH227=0)</formula>
    </cfRule>
  </conditionalFormatting>
  <conditionalFormatting sqref="U227:W244 P227:R244 K227:M244">
    <cfRule type="expression" dxfId="105" priority="506" stopIfTrue="1">
      <formula>AND(ROW(K227)=$BK$11,COLUMN(K227)=$BM$11)</formula>
    </cfRule>
  </conditionalFormatting>
  <conditionalFormatting sqref="P227:R244 U227:W244 K227:M244">
    <cfRule type="expression" dxfId="104" priority="507">
      <formula>AND(CELL("color",K227)=1,K227&lt;0,OR(AND(COLUMN(K227)=$BM$11,ROW(K227)&lt;=$BK$11),AND(COLUMN(K227)&lt;=$BM$11,ROW(K227)=$BK$11)))</formula>
    </cfRule>
    <cfRule type="expression" dxfId="103" priority="509">
      <formula>AND(CELL("color",K227)=1,K227&gt;0,OR(AND(COLUMN(K227)=$BM$11,ROW(K227)&lt;=$BK$11),AND(COLUMN(K227)&lt;=$BM$11,ROW(K227)=$BK$11)))</formula>
    </cfRule>
  </conditionalFormatting>
  <conditionalFormatting sqref="D227:D244">
    <cfRule type="expression" dxfId="102" priority="512">
      <formula>ISERROR(MATCH(D227,INDIRECT($D$10),0))</formula>
    </cfRule>
  </conditionalFormatting>
  <conditionalFormatting sqref="Y227:Y244">
    <cfRule type="expression" dxfId="101" priority="514">
      <formula>AND($AN227=1)</formula>
    </cfRule>
  </conditionalFormatting>
  <conditionalFormatting sqref="K227:W244">
    <cfRule type="expression" dxfId="100" priority="505" stopIfTrue="1">
      <formula>AND(K227&lt;0)</formula>
    </cfRule>
  </conditionalFormatting>
  <conditionalFormatting sqref="A209:A226">
    <cfRule type="expression" dxfId="99" priority="491" stopIfTrue="1">
      <formula>AND($AH209=0)</formula>
    </cfRule>
  </conditionalFormatting>
  <conditionalFormatting sqref="U209:W226 P209:R226 K209:M226">
    <cfRule type="expression" dxfId="98" priority="489" stopIfTrue="1">
      <formula>AND(ROW(K209)=$BK$11,COLUMN(K209)=$BM$11)</formula>
    </cfRule>
  </conditionalFormatting>
  <conditionalFormatting sqref="P209:R226 U209:W226 K209:M226">
    <cfRule type="expression" dxfId="97" priority="490">
      <formula>AND(CELL("color",K209)=1,K209&lt;0,OR(AND(COLUMN(K209)=$BM$11,ROW(K209)&lt;=$BK$11),AND(COLUMN(K209)&lt;=$BM$11,ROW(K209)=$BK$11)))</formula>
    </cfRule>
    <cfRule type="expression" dxfId="96" priority="492">
      <formula>AND(CELL("color",K209)=1,K209&gt;0,OR(AND(COLUMN(K209)=$BM$11,ROW(K209)&lt;=$BK$11),AND(COLUMN(K209)&lt;=$BM$11,ROW(K209)=$BK$11)))</formula>
    </cfRule>
  </conditionalFormatting>
  <conditionalFormatting sqref="D209:D226">
    <cfRule type="expression" dxfId="95" priority="495">
      <formula>ISERROR(MATCH(D209,INDIRECT($D$10),0))</formula>
    </cfRule>
  </conditionalFormatting>
  <conditionalFormatting sqref="Y209:Y226">
    <cfRule type="expression" dxfId="94" priority="497">
      <formula>AND($AN209=1)</formula>
    </cfRule>
  </conditionalFormatting>
  <conditionalFormatting sqref="K209:W226">
    <cfRule type="expression" dxfId="93" priority="488" stopIfTrue="1">
      <formula>AND(K209&lt;0)</formula>
    </cfRule>
  </conditionalFormatting>
  <conditionalFormatting sqref="A191:A208">
    <cfRule type="expression" dxfId="92" priority="474" stopIfTrue="1">
      <formula>AND($AH191=0)</formula>
    </cfRule>
  </conditionalFormatting>
  <conditionalFormatting sqref="U191:W208 P191:R208 K191:M208">
    <cfRule type="expression" dxfId="91" priority="472" stopIfTrue="1">
      <formula>AND(ROW(K191)=$BK$11,COLUMN(K191)=$BM$11)</formula>
    </cfRule>
  </conditionalFormatting>
  <conditionalFormatting sqref="P191:R208 U191:W208 K191:M208">
    <cfRule type="expression" dxfId="90" priority="473">
      <formula>AND(CELL("color",K191)=1,K191&lt;0,OR(AND(COLUMN(K191)=$BM$11,ROW(K191)&lt;=$BK$11),AND(COLUMN(K191)&lt;=$BM$11,ROW(K191)=$BK$11)))</formula>
    </cfRule>
    <cfRule type="expression" dxfId="89" priority="475">
      <formula>AND(CELL("color",K191)=1,K191&gt;0,OR(AND(COLUMN(K191)=$BM$11,ROW(K191)&lt;=$BK$11),AND(COLUMN(K191)&lt;=$BM$11,ROW(K191)=$BK$11)))</formula>
    </cfRule>
  </conditionalFormatting>
  <conditionalFormatting sqref="D191:D208">
    <cfRule type="expression" dxfId="88" priority="478">
      <formula>ISERROR(MATCH(D191,INDIRECT($D$10),0))</formula>
    </cfRule>
  </conditionalFormatting>
  <conditionalFormatting sqref="Y191:Y208">
    <cfRule type="expression" dxfId="87" priority="480">
      <formula>AND($AN191=1)</formula>
    </cfRule>
  </conditionalFormatting>
  <conditionalFormatting sqref="K191:W208">
    <cfRule type="expression" dxfId="86" priority="471" stopIfTrue="1">
      <formula>AND(K191&lt;0)</formula>
    </cfRule>
  </conditionalFormatting>
  <conditionalFormatting sqref="A173:A190">
    <cfRule type="expression" dxfId="85" priority="457" stopIfTrue="1">
      <formula>AND($AH173=0)</formula>
    </cfRule>
  </conditionalFormatting>
  <conditionalFormatting sqref="U173:W190 P173:R190 K173:M190">
    <cfRule type="expression" dxfId="84" priority="455" stopIfTrue="1">
      <formula>AND(ROW(K173)=$BK$11,COLUMN(K173)=$BM$11)</formula>
    </cfRule>
  </conditionalFormatting>
  <conditionalFormatting sqref="P173:R190 U173:W190 K173:M190">
    <cfRule type="expression" dxfId="83" priority="456">
      <formula>AND(CELL("color",K173)=1,K173&lt;0,OR(AND(COLUMN(K173)=$BM$11,ROW(K173)&lt;=$BK$11),AND(COLUMN(K173)&lt;=$BM$11,ROW(K173)=$BK$11)))</formula>
    </cfRule>
    <cfRule type="expression" dxfId="82" priority="458">
      <formula>AND(CELL("color",K173)=1,K173&gt;0,OR(AND(COLUMN(K173)=$BM$11,ROW(K173)&lt;=$BK$11),AND(COLUMN(K173)&lt;=$BM$11,ROW(K173)=$BK$11)))</formula>
    </cfRule>
  </conditionalFormatting>
  <conditionalFormatting sqref="D173:D190">
    <cfRule type="expression" dxfId="81" priority="461">
      <formula>ISERROR(MATCH(D173,INDIRECT($D$10),0))</formula>
    </cfRule>
  </conditionalFormatting>
  <conditionalFormatting sqref="Y173:Y190">
    <cfRule type="expression" dxfId="80" priority="463">
      <formula>AND($AN173=1)</formula>
    </cfRule>
  </conditionalFormatting>
  <conditionalFormatting sqref="K173:W190">
    <cfRule type="expression" dxfId="79" priority="454" stopIfTrue="1">
      <formula>AND(K173&lt;0)</formula>
    </cfRule>
  </conditionalFormatting>
  <conditionalFormatting sqref="A155:A172">
    <cfRule type="expression" dxfId="78" priority="440" stopIfTrue="1">
      <formula>AND($AH155=0)</formula>
    </cfRule>
  </conditionalFormatting>
  <conditionalFormatting sqref="U155:W172 P155:R172 K155:M172">
    <cfRule type="expression" dxfId="77" priority="438" stopIfTrue="1">
      <formula>AND(ROW(K155)=$BK$11,COLUMN(K155)=$BM$11)</formula>
    </cfRule>
  </conditionalFormatting>
  <conditionalFormatting sqref="P155:R172 U155:W172 K155:M172">
    <cfRule type="expression" dxfId="76" priority="439">
      <formula>AND(CELL("color",K155)=1,K155&lt;0,OR(AND(COLUMN(K155)=$BM$11,ROW(K155)&lt;=$BK$11),AND(COLUMN(K155)&lt;=$BM$11,ROW(K155)=$BK$11)))</formula>
    </cfRule>
    <cfRule type="expression" dxfId="75" priority="441">
      <formula>AND(CELL("color",K155)=1,K155&gt;0,OR(AND(COLUMN(K155)=$BM$11,ROW(K155)&lt;=$BK$11),AND(COLUMN(K155)&lt;=$BM$11,ROW(K155)=$BK$11)))</formula>
    </cfRule>
  </conditionalFormatting>
  <conditionalFormatting sqref="D155:D172">
    <cfRule type="expression" dxfId="74" priority="444">
      <formula>ISERROR(MATCH(D155,INDIRECT($D$10),0))</formula>
    </cfRule>
  </conditionalFormatting>
  <conditionalFormatting sqref="Y155:Y172">
    <cfRule type="expression" dxfId="73" priority="446">
      <formula>AND($AN155=1)</formula>
    </cfRule>
  </conditionalFormatting>
  <conditionalFormatting sqref="K155:W172">
    <cfRule type="expression" dxfId="72" priority="437" stopIfTrue="1">
      <formula>AND(K155&lt;0)</formula>
    </cfRule>
  </conditionalFormatting>
  <conditionalFormatting sqref="A137:A154">
    <cfRule type="expression" dxfId="71" priority="423" stopIfTrue="1">
      <formula>AND($AH137=0)</formula>
    </cfRule>
  </conditionalFormatting>
  <conditionalFormatting sqref="U137:W154 P137:R154 K137:M154">
    <cfRule type="expression" dxfId="70" priority="421" stopIfTrue="1">
      <formula>AND(ROW(K137)=$BK$11,COLUMN(K137)=$BM$11)</formula>
    </cfRule>
  </conditionalFormatting>
  <conditionalFormatting sqref="P137:R154 U137:W154 K137:M154">
    <cfRule type="expression" dxfId="69" priority="422">
      <formula>AND(CELL("color",K137)=1,K137&lt;0,OR(AND(COLUMN(K137)=$BM$11,ROW(K137)&lt;=$BK$11),AND(COLUMN(K137)&lt;=$BM$11,ROW(K137)=$BK$11)))</formula>
    </cfRule>
    <cfRule type="expression" dxfId="68" priority="424">
      <formula>AND(CELL("color",K137)=1,K137&gt;0,OR(AND(COLUMN(K137)=$BM$11,ROW(K137)&lt;=$BK$11),AND(COLUMN(K137)&lt;=$BM$11,ROW(K137)=$BK$11)))</formula>
    </cfRule>
  </conditionalFormatting>
  <conditionalFormatting sqref="D137:D154">
    <cfRule type="expression" dxfId="67" priority="427">
      <formula>ISERROR(MATCH(D137,INDIRECT($D$10),0))</formula>
    </cfRule>
  </conditionalFormatting>
  <conditionalFormatting sqref="Y137:Y154">
    <cfRule type="expression" dxfId="66" priority="429">
      <formula>AND($AN137=1)</formula>
    </cfRule>
  </conditionalFormatting>
  <conditionalFormatting sqref="K137:W154">
    <cfRule type="expression" dxfId="65" priority="420" stopIfTrue="1">
      <formula>AND(K137&lt;0)</formula>
    </cfRule>
  </conditionalFormatting>
  <conditionalFormatting sqref="A119:A136">
    <cfRule type="expression" dxfId="64" priority="406" stopIfTrue="1">
      <formula>AND($AH119=0)</formula>
    </cfRule>
  </conditionalFormatting>
  <conditionalFormatting sqref="U119:W136 P119:R136 K119:M136">
    <cfRule type="expression" dxfId="63" priority="404" stopIfTrue="1">
      <formula>AND(ROW(K119)=$BK$11,COLUMN(K119)=$BM$11)</formula>
    </cfRule>
  </conditionalFormatting>
  <conditionalFormatting sqref="P119:R136 U119:W136 K119:M136">
    <cfRule type="expression" dxfId="62" priority="405">
      <formula>AND(CELL("color",K119)=1,K119&lt;0,OR(AND(COLUMN(K119)=$BM$11,ROW(K119)&lt;=$BK$11),AND(COLUMN(K119)&lt;=$BM$11,ROW(K119)=$BK$11)))</formula>
    </cfRule>
    <cfRule type="expression" dxfId="61" priority="407">
      <formula>AND(CELL("color",K119)=1,K119&gt;0,OR(AND(COLUMN(K119)=$BM$11,ROW(K119)&lt;=$BK$11),AND(COLUMN(K119)&lt;=$BM$11,ROW(K119)=$BK$11)))</formula>
    </cfRule>
  </conditionalFormatting>
  <conditionalFormatting sqref="D119:D136">
    <cfRule type="expression" dxfId="60" priority="410">
      <formula>ISERROR(MATCH(D119,INDIRECT($D$10),0))</formula>
    </cfRule>
  </conditionalFormatting>
  <conditionalFormatting sqref="Y119:Y136">
    <cfRule type="expression" dxfId="59" priority="412">
      <formula>AND($AN119=1)</formula>
    </cfRule>
  </conditionalFormatting>
  <conditionalFormatting sqref="K119:W136">
    <cfRule type="expression" dxfId="58" priority="403" stopIfTrue="1">
      <formula>AND(K119&lt;0)</formula>
    </cfRule>
  </conditionalFormatting>
  <dataValidations count="12">
    <dataValidation type="list" allowBlank="1" showInputMessage="1" showErrorMessage="1" sqref="A11" xr:uid="{00000000-0002-0000-0400-000000000000}">
      <formula1>INDIRECT($A$10)</formula1>
    </dataValidation>
    <dataValidation type="list" allowBlank="1" showInputMessage="1" showErrorMessage="1" sqref="A1:F1" xr:uid="{00000000-0002-0000-0400-000001000000}">
      <formula1>INDIRECT($B$10)</formula1>
    </dataValidation>
    <dataValidation type="list" allowBlank="1" showInputMessage="1" showErrorMessage="1" sqref="F7" xr:uid="{00000000-0002-0000-0400-000002000000}">
      <formula1>"Auto,Delay,Man"</formula1>
    </dataValidation>
    <dataValidation type="list" allowBlank="1" showInputMessage="1" showErrorMessage="1" sqref="B7" xr:uid="{00000000-0002-0000-0400-000003000000}">
      <formula1>"Opening Attempts, Scoresheet, Current Status,Sorted Results"</formula1>
    </dataValidation>
    <dataValidation type="list" allowBlank="1" showInputMessage="1" showErrorMessage="1" sqref="G7" xr:uid="{00000000-0002-0000-0400-000004000000}">
      <formula1>"1,2,3,4,5"</formula1>
    </dataValidation>
    <dataValidation type="list" allowBlank="1" showInputMessage="1" showErrorMessage="1" sqref="A3:B3" xr:uid="{00000000-0002-0000-0400-000005000000}">
      <formula1>INDIRECT($C$9)</formula1>
    </dataValidation>
    <dataValidation type="list" allowBlank="1" showInputMessage="1" showErrorMessage="1" sqref="Y11" xr:uid="{00000000-0002-0000-0400-000006000000}">
      <formula1>$AM$1:$AM$7</formula1>
    </dataValidation>
    <dataValidation type="custom" errorStyle="warning" allowBlank="1" showInputMessage="1" showErrorMessage="1" errorTitle="Check Input" error="Must be a multiple of 2.5kg or 5lb except for record attempts." sqref="U12:U262 K12:K262 P12:P262" xr:uid="{00000000-0002-0000-0400-000007000000}">
      <formula1>OR(AND(MOD(K12,2.5)=0),K12=0)</formula1>
    </dataValidation>
    <dataValidation type="list" allowBlank="1" showInputMessage="1" showErrorMessage="1" sqref="A12:A262" xr:uid="{00000000-0002-0000-0400-000008000000}">
      <formula1>INDIRECT($C$8)</formula1>
    </dataValidation>
    <dataValidation type="list" allowBlank="1" showInputMessage="1" showErrorMessage="1" sqref="D12:D262" xr:uid="{00000000-0002-0000-0400-000009000000}">
      <formula1>INDIRECT($D$10)</formula1>
    </dataValidation>
    <dataValidation type="list" allowBlank="1" showInputMessage="1" showErrorMessage="1" sqref="C12:C262" xr:uid="{00000000-0002-0000-0400-00000A000000}">
      <formula1>INDIRECT($C$10)</formula1>
    </dataValidation>
    <dataValidation type="custom" errorStyle="warning" allowBlank="1" showInputMessage="1" showErrorMessage="1" errorTitle="Check Input" error="Must be a multiple of 2.5kg except for record attempts." sqref="Q12:R262 L12:M262 V12:W262" xr:uid="{00000000-0002-0000-0400-00000B000000}">
      <formula1>OR(L12=0,AND(MOD(L12,2.5)=0,IF(K12&lt;0,L12&gt;=ABS(K12),L12&gt;K12)))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79" r:id="rId4" name="Button 1007">
              <controlPr defaultSize="0" print="0" autoFill="0" autoPict="0" macro="[0]!ButtonLiftingClear">
                <anchor moveWithCells="1" sizeWithCells="1">
                  <from>
                    <xdr:col>91</xdr:col>
                    <xdr:colOff>9525</xdr:colOff>
                    <xdr:row>0</xdr:row>
                    <xdr:rowOff>28575</xdr:rowOff>
                  </from>
                  <to>
                    <xdr:col>91</xdr:col>
                    <xdr:colOff>561975</xdr:colOff>
                    <xdr:row>0</xdr:row>
                    <xdr:rowOff>619125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01" id="{EB014CCE-5D67-4B98-8CBD-877013212359}">
            <xm:f>AND(K11=Lists!$B$23)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m:sqref>K11:W11</xm:sqref>
        </x14:conditionalFormatting>
        <x14:conditionalFormatting xmlns:xm="http://schemas.microsoft.com/office/excel/2006/main">
          <x14:cfRule type="expression" priority="2170" id="{F3822398-6AFC-4BDD-8BB1-5544EFF603F4}">
            <xm:f>OR(AND(CELL("color",K12)=1,ROW(K12)&lt;=$BK$11,COLUMN(K12)=Lists!$B$24,K12&gt;0),AND(ROW(K12)=Lists!$B$25,COLUMN(K12)&lt;=$BM$11,K12&gt;0))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2171" id="{E38D551D-3902-49B8-8D58-631B68BA85C8}">
            <xm:f>OR(AND(CELL("color",K12)=1,ROW(K12)&lt;=$BK$11,COLUMN(K12)=Lists!$B$24,K12&lt;0),AND(ROW(K12)=Lists!$B$25,COLUMN(K12)&lt;=$BM$11,K12&lt;0))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K12:W118</xm:sqref>
        </x14:conditionalFormatting>
        <x14:conditionalFormatting xmlns:xm="http://schemas.microsoft.com/office/excel/2006/main">
          <x14:cfRule type="expression" priority="3268" id="{2232AE1D-8D0D-414B-B023-3F0E5A23BD3C}">
            <xm:f>AND($AN12&lt;&gt;4,$AM12=1,$D12=Lists!$B$40,OR($F12=Lists!$B$39,$AN12&gt;1))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AD12:AD118 Y12:AA118</xm:sqref>
        </x14:conditionalFormatting>
        <x14:conditionalFormatting xmlns:xm="http://schemas.microsoft.com/office/excel/2006/main">
          <x14:cfRule type="expression" priority="3270" id="{5CE0134B-FE39-4AA6-BAF1-0898430F6052}">
            <xm:f>AND($AN12&lt;&gt;4,ROW(A12)=Lists!$B$25)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J12:J118 A12:H118 AS12:AS118</xm:sqref>
        </x14:conditionalFormatting>
        <x14:conditionalFormatting xmlns:xm="http://schemas.microsoft.com/office/excel/2006/main">
          <x14:cfRule type="expression" priority="845" id="{45AD7FD2-92F5-4F71-8A8D-62674F6ED233}">
            <xm:f>AND($AN12&lt;&gt;4,ROW(I12)='\Users\NextLifter-SONY\Desktop\NextLifter\[2019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I12:I118</xm:sqref>
        </x14:conditionalFormatting>
        <x14:conditionalFormatting xmlns:xm="http://schemas.microsoft.com/office/excel/2006/main">
          <x14:cfRule type="expression" priority="843" id="{FD5D05FC-C2DE-4884-809A-6638EA9EB3D3}">
            <xm:f>AND($AN12&lt;&gt;4,$AM12=1,$D12='\Users\NextLifter-SONY\Documents\IPF NextLifter\[2019 IPF NextLifter with clock.xlsm]Lists'!#REF!,OR($F12='\Users\NextLifter-SONY\Documents\IPF NextLifter\[2019 IPF NextLifter with clock.xlsm]Lists'!#REF!,$AN12&gt;1))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AC12:AC262</xm:sqref>
        </x14:conditionalFormatting>
        <x14:conditionalFormatting xmlns:xm="http://schemas.microsoft.com/office/excel/2006/main">
          <x14:cfRule type="expression" priority="527" id="{86BEABA0-D102-4D96-827F-2EC33988F7EB}">
            <xm:f>OR(AND(CELL("color",K245)=1,ROW(K245)&lt;=$BK$11,COLUMN(K245)=Lists!$B$24,K245&gt;0),AND(ROW(K245)=Lists!$B$25,COLUMN(K245)&lt;=$BM$11,K245&gt;0))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528" id="{7852D58D-84A4-4D6C-8C51-55D70826A5FE}">
            <xm:f>OR(AND(CELL("color",K245)=1,ROW(K245)&lt;=$BK$11,COLUMN(K245)=Lists!$B$24,K245&lt;0),AND(ROW(K245)=Lists!$B$25,COLUMN(K245)&lt;=$BM$11,K245&lt;0))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K245:W262</xm:sqref>
        </x14:conditionalFormatting>
        <x14:conditionalFormatting xmlns:xm="http://schemas.microsoft.com/office/excel/2006/main">
          <x14:cfRule type="expression" priority="534" id="{CC2DF6C2-91CB-4104-AC7F-152468C8AEB8}">
            <xm:f>AND($AN245&lt;&gt;4,$AM245=1,$D245=Lists!$B$40,OR($F245=Lists!$B$39,$AN245&gt;1))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AD245:AD262 Y245:AA262</xm:sqref>
        </x14:conditionalFormatting>
        <x14:conditionalFormatting xmlns:xm="http://schemas.microsoft.com/office/excel/2006/main">
          <x14:cfRule type="expression" priority="535" id="{8FF41072-9BF0-413E-80EF-870FBB17ACC4}">
            <xm:f>AND($AN245&lt;&gt;4,ROW(A245)=Lists!$B$25)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J245:J262 A245:H262 AS245:AS262</xm:sqref>
        </x14:conditionalFormatting>
        <x14:conditionalFormatting xmlns:xm="http://schemas.microsoft.com/office/excel/2006/main">
          <x14:cfRule type="expression" priority="521" id="{BE32D428-1F94-40A0-893A-21B83CE0B706}">
            <xm:f>AND($AN245&lt;&gt;4,ROW(I245)='\Users\NextLifter-SONY\Desktop\NextLifter\[2019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I245:I262</xm:sqref>
        </x14:conditionalFormatting>
        <x14:conditionalFormatting xmlns:xm="http://schemas.microsoft.com/office/excel/2006/main">
          <x14:cfRule type="expression" priority="510" id="{5EAB1877-219C-4937-B925-1847DBEC2814}">
            <xm:f>OR(AND(CELL("color",K227)=1,ROW(K227)&lt;=$BK$11,COLUMN(K227)=Lists!$B$24,K227&gt;0),AND(ROW(K227)=Lists!$B$25,COLUMN(K227)&lt;=$BM$11,K227&gt;0))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511" id="{AB8F3E0D-C223-4E32-8CD3-650D44348D9B}">
            <xm:f>OR(AND(CELL("color",K227)=1,ROW(K227)&lt;=$BK$11,COLUMN(K227)=Lists!$B$24,K227&lt;0),AND(ROW(K227)=Lists!$B$25,COLUMN(K227)&lt;=$BM$11,K227&lt;0))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K227:W244</xm:sqref>
        </x14:conditionalFormatting>
        <x14:conditionalFormatting xmlns:xm="http://schemas.microsoft.com/office/excel/2006/main">
          <x14:cfRule type="expression" priority="517" id="{67F7644F-EF5F-4314-947F-9AC40A00A899}">
            <xm:f>AND($AN227&lt;&gt;4,$AM227=1,$D227=Lists!$B$40,OR($F227=Lists!$B$39,$AN227&gt;1))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AD227:AD244 Y227:AA244</xm:sqref>
        </x14:conditionalFormatting>
        <x14:conditionalFormatting xmlns:xm="http://schemas.microsoft.com/office/excel/2006/main">
          <x14:cfRule type="expression" priority="518" id="{3BF32E41-CA46-4346-9B48-062C552DA346}">
            <xm:f>AND($AN227&lt;&gt;4,ROW(A227)=Lists!$B$25)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J227:J244 A227:H244 AS227:AS244</xm:sqref>
        </x14:conditionalFormatting>
        <x14:conditionalFormatting xmlns:xm="http://schemas.microsoft.com/office/excel/2006/main">
          <x14:cfRule type="expression" priority="504" id="{8341984D-5C45-4B0F-AD58-9551044BADDE}">
            <xm:f>AND($AN227&lt;&gt;4,ROW(I227)='\Users\NextLifter-SONY\Desktop\NextLifter\[2019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I227:I244</xm:sqref>
        </x14:conditionalFormatting>
        <x14:conditionalFormatting xmlns:xm="http://schemas.microsoft.com/office/excel/2006/main">
          <x14:cfRule type="expression" priority="493" id="{64C30B52-13FF-4B5E-8DA5-E8FF8703C748}">
            <xm:f>OR(AND(CELL("color",K209)=1,ROW(K209)&lt;=$BK$11,COLUMN(K209)=Lists!$B$24,K209&gt;0),AND(ROW(K209)=Lists!$B$25,COLUMN(K209)&lt;=$BM$11,K209&gt;0))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94" id="{57CCDDD2-57A6-4931-84EA-5C1C42BDCC33}">
            <xm:f>OR(AND(CELL("color",K209)=1,ROW(K209)&lt;=$BK$11,COLUMN(K209)=Lists!$B$24,K209&lt;0),AND(ROW(K209)=Lists!$B$25,COLUMN(K209)&lt;=$BM$11,K209&lt;0))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K209:W226</xm:sqref>
        </x14:conditionalFormatting>
        <x14:conditionalFormatting xmlns:xm="http://schemas.microsoft.com/office/excel/2006/main">
          <x14:cfRule type="expression" priority="500" id="{0D3B99AD-F280-444B-9825-8CDEC5ECDECB}">
            <xm:f>AND($AN209&lt;&gt;4,$AM209=1,$D209=Lists!$B$40,OR($F209=Lists!$B$39,$AN209&gt;1))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AD209:AD226 Y209:AA226</xm:sqref>
        </x14:conditionalFormatting>
        <x14:conditionalFormatting xmlns:xm="http://schemas.microsoft.com/office/excel/2006/main">
          <x14:cfRule type="expression" priority="501" id="{883A5A40-E01F-4C7D-BC48-31A62E425AC9}">
            <xm:f>AND($AN209&lt;&gt;4,ROW(A209)=Lists!$B$25)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J209:J226 A209:H226 AS209:AS226</xm:sqref>
        </x14:conditionalFormatting>
        <x14:conditionalFormatting xmlns:xm="http://schemas.microsoft.com/office/excel/2006/main">
          <x14:cfRule type="expression" priority="487" id="{DA9D684D-8417-412F-9FBA-236F445E671C}">
            <xm:f>AND($AN209&lt;&gt;4,ROW(I209)='\Users\NextLifter-SONY\Desktop\NextLifter\[2019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I209:I226</xm:sqref>
        </x14:conditionalFormatting>
        <x14:conditionalFormatting xmlns:xm="http://schemas.microsoft.com/office/excel/2006/main">
          <x14:cfRule type="expression" priority="476" id="{E482CB4F-3A96-4FDF-817E-52CC0F7234F7}">
            <xm:f>OR(AND(CELL("color",K191)=1,ROW(K191)&lt;=$BK$11,COLUMN(K191)=Lists!$B$24,K191&gt;0),AND(ROW(K191)=Lists!$B$25,COLUMN(K191)&lt;=$BM$11,K191&gt;0))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77" id="{33662C53-9417-4FE7-8F5F-39C1D0BA3B64}">
            <xm:f>OR(AND(CELL("color",K191)=1,ROW(K191)&lt;=$BK$11,COLUMN(K191)=Lists!$B$24,K191&lt;0),AND(ROW(K191)=Lists!$B$25,COLUMN(K191)&lt;=$BM$11,K191&lt;0))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K191:W208</xm:sqref>
        </x14:conditionalFormatting>
        <x14:conditionalFormatting xmlns:xm="http://schemas.microsoft.com/office/excel/2006/main">
          <x14:cfRule type="expression" priority="483" id="{4BDEC364-B414-4E49-9ACD-6DB6B2C55081}">
            <xm:f>AND($AN191&lt;&gt;4,$AM191=1,$D191=Lists!$B$40,OR($F191=Lists!$B$39,$AN191&gt;1))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AD191:AD208 Y191:AA208</xm:sqref>
        </x14:conditionalFormatting>
        <x14:conditionalFormatting xmlns:xm="http://schemas.microsoft.com/office/excel/2006/main">
          <x14:cfRule type="expression" priority="484" id="{D3813217-302B-4D76-A9E9-DCED76404313}">
            <xm:f>AND($AN191&lt;&gt;4,ROW(A191)=Lists!$B$25)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J191:J208 A191:H208 AS191:AS208</xm:sqref>
        </x14:conditionalFormatting>
        <x14:conditionalFormatting xmlns:xm="http://schemas.microsoft.com/office/excel/2006/main">
          <x14:cfRule type="expression" priority="470" id="{B04E36D5-54A4-4E4B-9A1B-07DC6B35CF39}">
            <xm:f>AND($AN191&lt;&gt;4,ROW(I191)='\Users\NextLifter-SONY\Desktop\NextLifter\[2019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I191:I208</xm:sqref>
        </x14:conditionalFormatting>
        <x14:conditionalFormatting xmlns:xm="http://schemas.microsoft.com/office/excel/2006/main">
          <x14:cfRule type="expression" priority="459" id="{48EB9C83-EF43-45CA-BC51-8742D1DCA921}">
            <xm:f>OR(AND(CELL("color",K173)=1,ROW(K173)&lt;=$BK$11,COLUMN(K173)=Lists!$B$24,K173&gt;0),AND(ROW(K173)=Lists!$B$25,COLUMN(K173)&lt;=$BM$11,K173&gt;0))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60" id="{0C7E6838-C7F5-43E6-82E9-C9C6BCE4E1E2}">
            <xm:f>OR(AND(CELL("color",K173)=1,ROW(K173)&lt;=$BK$11,COLUMN(K173)=Lists!$B$24,K173&lt;0),AND(ROW(K173)=Lists!$B$25,COLUMN(K173)&lt;=$BM$11,K173&lt;0))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K173:W190</xm:sqref>
        </x14:conditionalFormatting>
        <x14:conditionalFormatting xmlns:xm="http://schemas.microsoft.com/office/excel/2006/main">
          <x14:cfRule type="expression" priority="466" id="{2296AFEE-FB25-493E-A031-980D899F4456}">
            <xm:f>AND($AN173&lt;&gt;4,$AM173=1,$D173=Lists!$B$40,OR($F173=Lists!$B$39,$AN173&gt;1))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AD173:AD190 Y173:AA190</xm:sqref>
        </x14:conditionalFormatting>
        <x14:conditionalFormatting xmlns:xm="http://schemas.microsoft.com/office/excel/2006/main">
          <x14:cfRule type="expression" priority="467" id="{838B7E3E-BA56-4395-86B1-D5473F7F3AA5}">
            <xm:f>AND($AN173&lt;&gt;4,ROW(A173)=Lists!$B$25)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J173:J190 A173:H190 AS173:AS190</xm:sqref>
        </x14:conditionalFormatting>
        <x14:conditionalFormatting xmlns:xm="http://schemas.microsoft.com/office/excel/2006/main">
          <x14:cfRule type="expression" priority="453" id="{AEE81695-D6DE-4A46-BA3C-833221E8CDE7}">
            <xm:f>AND($AN173&lt;&gt;4,ROW(I173)='\Users\NextLifter-SONY\Desktop\NextLifter\[2019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I173:I190</xm:sqref>
        </x14:conditionalFormatting>
        <x14:conditionalFormatting xmlns:xm="http://schemas.microsoft.com/office/excel/2006/main">
          <x14:cfRule type="expression" priority="442" id="{A77744FB-4D98-4B25-9DC0-5AD8A1CFD807}">
            <xm:f>OR(AND(CELL("color",K155)=1,ROW(K155)&lt;=$BK$11,COLUMN(K155)=Lists!$B$24,K155&gt;0),AND(ROW(K155)=Lists!$B$25,COLUMN(K155)&lt;=$BM$11,K155&gt;0))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43" id="{8780CEFC-030B-4746-9E2C-C63DFF3F4FBE}">
            <xm:f>OR(AND(CELL("color",K155)=1,ROW(K155)&lt;=$BK$11,COLUMN(K155)=Lists!$B$24,K155&lt;0),AND(ROW(K155)=Lists!$B$25,COLUMN(K155)&lt;=$BM$11,K155&lt;0))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K155:W172</xm:sqref>
        </x14:conditionalFormatting>
        <x14:conditionalFormatting xmlns:xm="http://schemas.microsoft.com/office/excel/2006/main">
          <x14:cfRule type="expression" priority="449" id="{1F4242DC-8FFE-4620-B5B9-1F2507C263C4}">
            <xm:f>AND($AN155&lt;&gt;4,$AM155=1,$D155=Lists!$B$40,OR($F155=Lists!$B$39,$AN155&gt;1))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AD155:AD172 Y155:AA172</xm:sqref>
        </x14:conditionalFormatting>
        <x14:conditionalFormatting xmlns:xm="http://schemas.microsoft.com/office/excel/2006/main">
          <x14:cfRule type="expression" priority="450" id="{4F0483A1-FE70-43E1-9456-E1135FC838D2}">
            <xm:f>AND($AN155&lt;&gt;4,ROW(A155)=Lists!$B$25)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J155:J172 A155:H172 AS155:AS172</xm:sqref>
        </x14:conditionalFormatting>
        <x14:conditionalFormatting xmlns:xm="http://schemas.microsoft.com/office/excel/2006/main">
          <x14:cfRule type="expression" priority="436" id="{2E1BCE38-8B69-497C-AA6D-BED21EC44DD7}">
            <xm:f>AND($AN155&lt;&gt;4,ROW(I155)='\Users\NextLifter-SONY\Desktop\NextLifter\[2019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I155:I172</xm:sqref>
        </x14:conditionalFormatting>
        <x14:conditionalFormatting xmlns:xm="http://schemas.microsoft.com/office/excel/2006/main">
          <x14:cfRule type="expression" priority="425" id="{5B9B619B-07E8-443A-A0DA-B1F3012BE2DB}">
            <xm:f>OR(AND(CELL("color",K137)=1,ROW(K137)&lt;=$BK$11,COLUMN(K137)=Lists!$B$24,K137&gt;0),AND(ROW(K137)=Lists!$B$25,COLUMN(K137)&lt;=$BM$11,K137&gt;0))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26" id="{CB9E0433-B3C3-4367-834B-BCB3B6FE758B}">
            <xm:f>OR(AND(CELL("color",K137)=1,ROW(K137)&lt;=$BK$11,COLUMN(K137)=Lists!$B$24,K137&lt;0),AND(ROW(K137)=Lists!$B$25,COLUMN(K137)&lt;=$BM$11,K137&lt;0))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K137:W154</xm:sqref>
        </x14:conditionalFormatting>
        <x14:conditionalFormatting xmlns:xm="http://schemas.microsoft.com/office/excel/2006/main">
          <x14:cfRule type="expression" priority="432" id="{03427ACB-E1C1-4955-9BBE-FC813B01D737}">
            <xm:f>AND($AN137&lt;&gt;4,$AM137=1,$D137=Lists!$B$40,OR($F137=Lists!$B$39,$AN137&gt;1))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AD137:AD154 Y137:AA154</xm:sqref>
        </x14:conditionalFormatting>
        <x14:conditionalFormatting xmlns:xm="http://schemas.microsoft.com/office/excel/2006/main">
          <x14:cfRule type="expression" priority="433" id="{21728C18-10BE-453C-B165-74B8B130ED8F}">
            <xm:f>AND($AN137&lt;&gt;4,ROW(A137)=Lists!$B$25)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J137:J154 A137:H154 AS137:AS154</xm:sqref>
        </x14:conditionalFormatting>
        <x14:conditionalFormatting xmlns:xm="http://schemas.microsoft.com/office/excel/2006/main">
          <x14:cfRule type="expression" priority="419" id="{5964A9A1-81C4-446F-A11F-62415EBE7969}">
            <xm:f>AND($AN137&lt;&gt;4,ROW(I137)='\Users\NextLifter-SONY\Desktop\NextLifter\[2019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I137:I154</xm:sqref>
        </x14:conditionalFormatting>
        <x14:conditionalFormatting xmlns:xm="http://schemas.microsoft.com/office/excel/2006/main">
          <x14:cfRule type="expression" priority="408" id="{D198CDBD-1811-4E7B-ADBE-8F3BA51FEC30}">
            <xm:f>OR(AND(CELL("color",K119)=1,ROW(K119)&lt;=$BK$11,COLUMN(K119)=Lists!$B$24,K119&gt;0),AND(ROW(K119)=Lists!$B$25,COLUMN(K119)&lt;=$BM$11,K119&gt;0))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09" id="{5F71B10F-B3BF-450B-92A3-753F7669223E}">
            <xm:f>OR(AND(CELL("color",K119)=1,ROW(K119)&lt;=$BK$11,COLUMN(K119)=Lists!$B$24,K119&lt;0),AND(ROW(K119)=Lists!$B$25,COLUMN(K119)&lt;=$BM$11,K119&lt;0))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K119:W136</xm:sqref>
        </x14:conditionalFormatting>
        <x14:conditionalFormatting xmlns:xm="http://schemas.microsoft.com/office/excel/2006/main">
          <x14:cfRule type="expression" priority="415" id="{11249A86-549C-4DE7-BE36-334B622870A8}">
            <xm:f>AND($AN119&lt;&gt;4,$AM119=1,$D119=Lists!$B$40,OR($F119=Lists!$B$39,$AN119&gt;1))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AD119:AD136 Y119:AA136</xm:sqref>
        </x14:conditionalFormatting>
        <x14:conditionalFormatting xmlns:xm="http://schemas.microsoft.com/office/excel/2006/main">
          <x14:cfRule type="expression" priority="416" id="{3FFBA7DC-59BF-4B8C-9B0E-6B694C920E3C}">
            <xm:f>AND($AN119&lt;&gt;4,ROW(A119)=Lists!$B$25)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J119:J136 A119:H136 AS119:AS136</xm:sqref>
        </x14:conditionalFormatting>
        <x14:conditionalFormatting xmlns:xm="http://schemas.microsoft.com/office/excel/2006/main">
          <x14:cfRule type="expression" priority="402" id="{4936D181-D71B-4C1A-8589-9980E0203F55}">
            <xm:f>AND($AN119&lt;&gt;4,ROW(I119)='\Users\NextLifter-SONY\Desktop\NextLifter\[2019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I119:I136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C000000}">
          <x14:formula1>
            <xm:f>INDIRECT(CONCATENATE("Setup!Q5:Q",COUNTA(Setup!Q:Q)+4))</xm:f>
          </x14:formula1>
          <xm:sqref>A12:A262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00FF"/>
    <pageSetUpPr fitToPage="1"/>
  </sheetPr>
  <dimension ref="A1:AI22"/>
  <sheetViews>
    <sheetView workbookViewId="0">
      <selection activeCell="A3" sqref="A3:AG22"/>
    </sheetView>
  </sheetViews>
  <sheetFormatPr defaultColWidth="9.28515625" defaultRowHeight="18" customHeight="1" x14ac:dyDescent="0.2"/>
  <cols>
    <col min="1" max="1" width="5" style="33" customWidth="1"/>
    <col min="2" max="2" width="19.85546875" style="265" bestFit="1" customWidth="1"/>
    <col min="3" max="3" width="17.42578125" style="33" customWidth="1"/>
    <col min="4" max="4" width="9.28515625" style="33" customWidth="1"/>
    <col min="5" max="5" width="8.28515625" style="266" customWidth="1"/>
    <col min="6" max="6" width="8.28515625" style="33" customWidth="1"/>
    <col min="7" max="7" width="5.42578125" style="33" customWidth="1"/>
    <col min="8" max="8" width="7.5703125" style="267" hidden="1" customWidth="1"/>
    <col min="9" max="9" width="9.7109375" style="268" hidden="1" customWidth="1"/>
    <col min="10" max="10" width="7.7109375" style="269" hidden="1" customWidth="1"/>
    <col min="11" max="14" width="7.7109375" style="269" customWidth="1"/>
    <col min="15" max="15" width="7.7109375" style="269" hidden="1" customWidth="1"/>
    <col min="16" max="16" width="7.7109375" style="269" customWidth="1"/>
    <col min="17" max="20" width="7.7109375" style="269" hidden="1" customWidth="1"/>
    <col min="21" max="21" width="7.7109375" style="269" customWidth="1"/>
    <col min="22" max="25" width="7.7109375" style="269" hidden="1" customWidth="1"/>
    <col min="26" max="26" width="15.7109375" style="33" hidden="1" customWidth="1"/>
    <col min="27" max="27" width="9.7109375" style="269" customWidth="1"/>
    <col min="28" max="28" width="9.7109375" style="267" customWidth="1"/>
    <col min="29" max="30" width="7.7109375" style="266" customWidth="1"/>
    <col min="31" max="31" width="7.7109375" style="33" customWidth="1"/>
    <col min="32" max="33" width="7.7109375" style="33" hidden="1" customWidth="1"/>
    <col min="34" max="35" width="9.28515625" style="33" customWidth="1"/>
    <col min="36" max="16384" width="9.28515625" style="33"/>
  </cols>
  <sheetData>
    <row r="1" spans="1:35" s="55" customFormat="1" ht="29.25" customHeight="1" x14ac:dyDescent="0.35">
      <c r="B1" s="347" t="s">
        <v>1237</v>
      </c>
      <c r="C1" s="340" t="s">
        <v>1281</v>
      </c>
      <c r="E1" s="67"/>
      <c r="H1" s="81"/>
      <c r="I1" s="196"/>
      <c r="J1" s="65"/>
      <c r="K1" s="65"/>
      <c r="L1" s="65"/>
      <c r="M1" s="65"/>
      <c r="N1" s="65"/>
      <c r="O1" s="65"/>
      <c r="P1" s="231"/>
      <c r="Q1" s="231"/>
      <c r="R1" s="322"/>
      <c r="S1" s="231"/>
      <c r="T1" s="231"/>
      <c r="U1" s="231"/>
      <c r="V1" s="304"/>
      <c r="W1" s="304"/>
      <c r="X1" s="304"/>
      <c r="Y1" s="304"/>
      <c r="Z1" s="304"/>
      <c r="AA1" s="304"/>
      <c r="AB1" s="304"/>
      <c r="AC1" s="305"/>
      <c r="AD1" s="305"/>
      <c r="AE1" s="304"/>
      <c r="AF1" s="304"/>
      <c r="AG1" s="304"/>
      <c r="AH1" s="304"/>
    </row>
    <row r="2" spans="1:35" s="262" customFormat="1" ht="28.5" customHeight="1" thickBot="1" x14ac:dyDescent="0.25">
      <c r="A2" s="323" t="s">
        <v>1279</v>
      </c>
      <c r="B2" s="324" t="s">
        <v>54</v>
      </c>
      <c r="C2" s="324" t="s">
        <v>55</v>
      </c>
      <c r="D2" s="324" t="s">
        <v>56</v>
      </c>
      <c r="E2" s="325" t="s">
        <v>1072</v>
      </c>
      <c r="F2" s="324" t="s">
        <v>716</v>
      </c>
      <c r="G2" s="324" t="s">
        <v>57</v>
      </c>
      <c r="H2" s="326" t="s">
        <v>849</v>
      </c>
      <c r="I2" s="327" t="s">
        <v>912</v>
      </c>
      <c r="J2" s="328" t="s">
        <v>58</v>
      </c>
      <c r="K2" s="328" t="s">
        <v>28</v>
      </c>
      <c r="L2" s="328" t="s">
        <v>32</v>
      </c>
      <c r="M2" s="328" t="s">
        <v>36</v>
      </c>
      <c r="N2" s="328" t="s">
        <v>72</v>
      </c>
      <c r="O2" s="328" t="s">
        <v>59</v>
      </c>
      <c r="P2" s="328" t="s">
        <v>39</v>
      </c>
      <c r="Q2" s="328" t="s">
        <v>41</v>
      </c>
      <c r="R2" s="328" t="s">
        <v>42</v>
      </c>
      <c r="S2" s="328" t="s">
        <v>73</v>
      </c>
      <c r="T2" s="328" t="s">
        <v>65</v>
      </c>
      <c r="U2" s="328" t="s">
        <v>43</v>
      </c>
      <c r="V2" s="328" t="s">
        <v>44</v>
      </c>
      <c r="W2" s="328" t="s">
        <v>45</v>
      </c>
      <c r="X2" s="328" t="s">
        <v>74</v>
      </c>
      <c r="Y2" s="328" t="s">
        <v>76</v>
      </c>
      <c r="Z2" s="324" t="s">
        <v>157</v>
      </c>
      <c r="AA2" s="328" t="s">
        <v>318</v>
      </c>
      <c r="AB2" s="326" t="s">
        <v>324</v>
      </c>
      <c r="AC2" s="325" t="s">
        <v>850</v>
      </c>
      <c r="AD2" s="325" t="s">
        <v>851</v>
      </c>
      <c r="AE2" s="324" t="s">
        <v>60</v>
      </c>
      <c r="AF2" s="321" t="s">
        <v>801</v>
      </c>
      <c r="AG2" s="51" t="s">
        <v>468</v>
      </c>
      <c r="AH2" s="259" t="s">
        <v>1063</v>
      </c>
      <c r="AI2" s="264" t="s">
        <v>1064</v>
      </c>
    </row>
    <row r="3" spans="1:35" ht="18" customHeight="1" x14ac:dyDescent="0.2">
      <c r="A3" s="33" t="s">
        <v>68</v>
      </c>
      <c r="B3" s="265" t="s">
        <v>1247</v>
      </c>
      <c r="C3" s="33" t="s">
        <v>1258</v>
      </c>
      <c r="D3" s="33" t="s">
        <v>1201</v>
      </c>
      <c r="E3" s="266">
        <v>70</v>
      </c>
      <c r="F3" s="33" t="s">
        <v>1280</v>
      </c>
      <c r="G3" s="33">
        <v>40</v>
      </c>
      <c r="H3" s="267">
        <v>2</v>
      </c>
      <c r="I3" s="268" t="s">
        <v>1169</v>
      </c>
      <c r="J3" s="269" t="s">
        <v>810</v>
      </c>
      <c r="K3" s="269">
        <v>70</v>
      </c>
      <c r="L3" s="269">
        <v>-80</v>
      </c>
      <c r="M3" s="269">
        <v>80</v>
      </c>
      <c r="N3" s="269">
        <v>80</v>
      </c>
      <c r="O3" s="269" t="s">
        <v>1270</v>
      </c>
      <c r="P3" s="269">
        <v>60</v>
      </c>
      <c r="S3" s="269">
        <v>0</v>
      </c>
      <c r="T3" s="269">
        <v>0</v>
      </c>
      <c r="U3" s="269">
        <v>130</v>
      </c>
      <c r="X3" s="269">
        <v>0</v>
      </c>
      <c r="Y3" s="269">
        <v>0</v>
      </c>
      <c r="Z3" s="33" t="s">
        <v>162</v>
      </c>
      <c r="AA3" s="269">
        <v>270</v>
      </c>
      <c r="AB3" s="267">
        <v>20</v>
      </c>
      <c r="AC3" s="266">
        <v>0</v>
      </c>
      <c r="AD3" s="266">
        <v>0</v>
      </c>
      <c r="AE3" s="33" t="s">
        <v>69</v>
      </c>
    </row>
    <row r="4" spans="1:35" ht="18" customHeight="1" x14ac:dyDescent="0.2">
      <c r="A4" s="33" t="s">
        <v>68</v>
      </c>
      <c r="B4" s="265" t="s">
        <v>1241</v>
      </c>
      <c r="C4" s="33" t="s">
        <v>1259</v>
      </c>
      <c r="D4" s="33" t="s">
        <v>1201</v>
      </c>
      <c r="E4" s="266">
        <v>66.900000000000006</v>
      </c>
      <c r="F4" s="33" t="s">
        <v>1280</v>
      </c>
      <c r="G4" s="33">
        <v>34</v>
      </c>
      <c r="H4" s="267">
        <v>3</v>
      </c>
      <c r="I4" s="268" t="s">
        <v>1169</v>
      </c>
      <c r="J4" s="269" t="s">
        <v>810</v>
      </c>
      <c r="K4" s="269">
        <v>70</v>
      </c>
      <c r="L4" s="269">
        <v>85</v>
      </c>
      <c r="M4" s="269">
        <v>95</v>
      </c>
      <c r="N4" s="269">
        <v>95</v>
      </c>
      <c r="O4" s="269" t="s">
        <v>1277</v>
      </c>
      <c r="P4" s="269">
        <v>65</v>
      </c>
      <c r="S4" s="269">
        <v>0</v>
      </c>
      <c r="T4" s="269">
        <v>0</v>
      </c>
      <c r="U4" s="269">
        <v>110</v>
      </c>
      <c r="X4" s="269">
        <v>0</v>
      </c>
      <c r="Y4" s="269">
        <v>0</v>
      </c>
      <c r="Z4" s="33" t="s">
        <v>162</v>
      </c>
      <c r="AA4" s="269">
        <v>270</v>
      </c>
      <c r="AB4" s="267">
        <v>19</v>
      </c>
      <c r="AC4" s="266">
        <v>0</v>
      </c>
      <c r="AD4" s="266">
        <v>0</v>
      </c>
      <c r="AE4" s="33" t="s">
        <v>69</v>
      </c>
    </row>
    <row r="5" spans="1:35" ht="18" customHeight="1" x14ac:dyDescent="0.2">
      <c r="A5" s="33" t="s">
        <v>68</v>
      </c>
      <c r="B5" s="265" t="s">
        <v>1242</v>
      </c>
      <c r="C5" s="33" t="s">
        <v>1261</v>
      </c>
      <c r="D5" s="33" t="s">
        <v>1201</v>
      </c>
      <c r="E5" s="266">
        <v>67.599999999999994</v>
      </c>
      <c r="F5" s="33" t="s">
        <v>1280</v>
      </c>
      <c r="G5" s="33">
        <v>35</v>
      </c>
      <c r="H5" s="267">
        <v>2</v>
      </c>
      <c r="I5" s="268" t="s">
        <v>1169</v>
      </c>
      <c r="J5" s="269" t="s">
        <v>810</v>
      </c>
      <c r="K5" s="269">
        <v>125</v>
      </c>
      <c r="L5" s="269">
        <v>135</v>
      </c>
      <c r="M5" s="269">
        <v>140</v>
      </c>
      <c r="N5" s="269">
        <v>140</v>
      </c>
      <c r="O5" s="269" t="s">
        <v>1270</v>
      </c>
      <c r="P5" s="269">
        <v>82.5</v>
      </c>
      <c r="S5" s="269">
        <v>0</v>
      </c>
      <c r="T5" s="269">
        <v>0</v>
      </c>
      <c r="U5" s="269">
        <v>145</v>
      </c>
      <c r="X5" s="269">
        <v>0</v>
      </c>
      <c r="Y5" s="269">
        <v>0</v>
      </c>
      <c r="Z5" s="33" t="s">
        <v>162</v>
      </c>
      <c r="AA5" s="269">
        <v>367.5</v>
      </c>
      <c r="AB5" s="267">
        <v>16</v>
      </c>
      <c r="AC5" s="266">
        <v>0</v>
      </c>
      <c r="AD5" s="266">
        <v>0</v>
      </c>
      <c r="AE5" s="33" t="s">
        <v>69</v>
      </c>
    </row>
    <row r="6" spans="1:35" ht="18" customHeight="1" x14ac:dyDescent="0.2">
      <c r="A6" s="33" t="s">
        <v>68</v>
      </c>
      <c r="B6" s="265" t="s">
        <v>1243</v>
      </c>
      <c r="C6" s="33" t="s">
        <v>1262</v>
      </c>
      <c r="D6" s="33" t="s">
        <v>1201</v>
      </c>
      <c r="E6" s="266">
        <v>71.599999999999994</v>
      </c>
      <c r="F6" s="33" t="s">
        <v>1280</v>
      </c>
      <c r="G6" s="33">
        <v>36</v>
      </c>
      <c r="H6" s="267">
        <v>1</v>
      </c>
      <c r="I6" s="268" t="s">
        <v>1169</v>
      </c>
      <c r="J6" s="269" t="s">
        <v>811</v>
      </c>
      <c r="K6" s="269">
        <v>120</v>
      </c>
      <c r="L6" s="269">
        <v>130</v>
      </c>
      <c r="M6" s="269">
        <v>140</v>
      </c>
      <c r="N6" s="269">
        <v>140</v>
      </c>
      <c r="O6" s="269" t="s">
        <v>1268</v>
      </c>
      <c r="P6" s="269">
        <v>70</v>
      </c>
      <c r="S6" s="269">
        <v>0</v>
      </c>
      <c r="T6" s="269">
        <v>0</v>
      </c>
      <c r="U6" s="269">
        <v>160</v>
      </c>
      <c r="X6" s="269">
        <v>0</v>
      </c>
      <c r="Y6" s="269">
        <v>0</v>
      </c>
      <c r="Z6" s="33" t="s">
        <v>162</v>
      </c>
      <c r="AA6" s="269">
        <v>370</v>
      </c>
      <c r="AB6" s="267">
        <v>14</v>
      </c>
      <c r="AC6" s="266">
        <v>0</v>
      </c>
      <c r="AD6" s="266">
        <v>0</v>
      </c>
      <c r="AE6" s="33" t="s">
        <v>69</v>
      </c>
    </row>
    <row r="7" spans="1:35" ht="18" customHeight="1" x14ac:dyDescent="0.2">
      <c r="A7" s="33" t="s">
        <v>68</v>
      </c>
      <c r="B7" s="265" t="s">
        <v>1244</v>
      </c>
      <c r="C7" s="33" t="s">
        <v>1263</v>
      </c>
      <c r="D7" s="33" t="s">
        <v>1201</v>
      </c>
      <c r="E7" s="266">
        <v>71.3</v>
      </c>
      <c r="F7" s="33" t="s">
        <v>1280</v>
      </c>
      <c r="G7" s="33">
        <v>37</v>
      </c>
      <c r="H7" s="267">
        <v>1</v>
      </c>
      <c r="I7" s="268" t="s">
        <v>1169</v>
      </c>
      <c r="J7" s="269" t="s">
        <v>810</v>
      </c>
      <c r="K7" s="269">
        <v>120</v>
      </c>
      <c r="L7" s="269">
        <v>130</v>
      </c>
      <c r="M7" s="269">
        <v>-140</v>
      </c>
      <c r="N7" s="269">
        <v>130</v>
      </c>
      <c r="O7" s="269" t="s">
        <v>1270</v>
      </c>
      <c r="P7" s="269">
        <v>85</v>
      </c>
      <c r="S7" s="269">
        <v>0</v>
      </c>
      <c r="T7" s="269">
        <v>0</v>
      </c>
      <c r="U7" s="269">
        <v>160</v>
      </c>
      <c r="X7" s="269">
        <v>0</v>
      </c>
      <c r="Y7" s="269">
        <v>0</v>
      </c>
      <c r="Z7" s="33" t="s">
        <v>162</v>
      </c>
      <c r="AA7" s="269">
        <v>375</v>
      </c>
      <c r="AB7" s="267">
        <v>13</v>
      </c>
      <c r="AC7" s="266">
        <v>0</v>
      </c>
      <c r="AD7" s="266">
        <v>0</v>
      </c>
      <c r="AE7" s="33" t="s">
        <v>69</v>
      </c>
    </row>
    <row r="8" spans="1:35" ht="18" customHeight="1" x14ac:dyDescent="0.2">
      <c r="A8" s="33" t="s">
        <v>68</v>
      </c>
      <c r="B8" s="265" t="s">
        <v>1239</v>
      </c>
      <c r="C8" s="33" t="s">
        <v>1259</v>
      </c>
      <c r="D8" s="33" t="s">
        <v>1201</v>
      </c>
      <c r="E8" s="266">
        <v>73.900000000000006</v>
      </c>
      <c r="F8" s="33" t="s">
        <v>1280</v>
      </c>
      <c r="G8" s="33">
        <v>32</v>
      </c>
      <c r="H8" s="267">
        <v>2</v>
      </c>
      <c r="I8" s="268" t="s">
        <v>1169</v>
      </c>
      <c r="J8" s="269" t="s">
        <v>809</v>
      </c>
      <c r="K8" s="269">
        <v>130</v>
      </c>
      <c r="L8" s="269">
        <v>140</v>
      </c>
      <c r="M8" s="269">
        <v>150</v>
      </c>
      <c r="N8" s="269">
        <v>150</v>
      </c>
      <c r="O8" s="269" t="s">
        <v>1270</v>
      </c>
      <c r="P8" s="269">
        <v>60</v>
      </c>
      <c r="S8" s="269">
        <v>0</v>
      </c>
      <c r="T8" s="269">
        <v>0</v>
      </c>
      <c r="U8" s="269">
        <v>170</v>
      </c>
      <c r="X8" s="269">
        <v>0</v>
      </c>
      <c r="Y8" s="269">
        <v>0</v>
      </c>
      <c r="Z8" s="33" t="s">
        <v>162</v>
      </c>
      <c r="AA8" s="269">
        <v>380</v>
      </c>
      <c r="AB8" s="267">
        <v>12</v>
      </c>
      <c r="AC8" s="266">
        <v>0</v>
      </c>
      <c r="AD8" s="266">
        <v>0</v>
      </c>
      <c r="AE8" s="33" t="s">
        <v>69</v>
      </c>
    </row>
    <row r="9" spans="1:35" ht="18" customHeight="1" x14ac:dyDescent="0.2">
      <c r="A9" s="33" t="s">
        <v>68</v>
      </c>
      <c r="B9" s="265" t="s">
        <v>1238</v>
      </c>
      <c r="C9" s="33" t="s">
        <v>1258</v>
      </c>
      <c r="D9" s="33" t="s">
        <v>1201</v>
      </c>
      <c r="E9" s="266">
        <v>68.900000000000006</v>
      </c>
      <c r="F9" s="33" t="s">
        <v>1280</v>
      </c>
      <c r="G9" s="33">
        <v>31</v>
      </c>
      <c r="H9" s="267">
        <v>2</v>
      </c>
      <c r="I9" s="268" t="s">
        <v>1169</v>
      </c>
      <c r="J9" s="269" t="s">
        <v>809</v>
      </c>
      <c r="K9" s="269">
        <v>135</v>
      </c>
      <c r="L9" s="269">
        <v>145</v>
      </c>
      <c r="M9" s="269">
        <v>152.5</v>
      </c>
      <c r="N9" s="269">
        <v>152.5</v>
      </c>
      <c r="O9" s="269" t="s">
        <v>1268</v>
      </c>
      <c r="P9" s="269">
        <v>80</v>
      </c>
      <c r="S9" s="269">
        <v>0</v>
      </c>
      <c r="T9" s="269">
        <v>0</v>
      </c>
      <c r="U9" s="269">
        <v>160</v>
      </c>
      <c r="X9" s="269">
        <v>0</v>
      </c>
      <c r="Y9" s="269">
        <v>0</v>
      </c>
      <c r="Z9" s="33" t="s">
        <v>162</v>
      </c>
      <c r="AA9" s="269">
        <v>392.5</v>
      </c>
      <c r="AB9" s="267">
        <v>11</v>
      </c>
      <c r="AC9" s="266">
        <v>0</v>
      </c>
      <c r="AD9" s="266">
        <v>0</v>
      </c>
      <c r="AE9" s="33" t="s">
        <v>69</v>
      </c>
    </row>
    <row r="10" spans="1:35" ht="18" customHeight="1" x14ac:dyDescent="0.2">
      <c r="A10" s="33" t="s">
        <v>68</v>
      </c>
      <c r="B10" s="265" t="s">
        <v>1245</v>
      </c>
      <c r="C10" s="33" t="s">
        <v>1260</v>
      </c>
      <c r="D10" s="33" t="s">
        <v>1201</v>
      </c>
      <c r="E10" s="266">
        <v>73.400000000000006</v>
      </c>
      <c r="F10" s="33" t="s">
        <v>1280</v>
      </c>
      <c r="G10" s="33">
        <v>38</v>
      </c>
      <c r="H10" s="267">
        <v>2</v>
      </c>
      <c r="I10" s="268" t="s">
        <v>1169</v>
      </c>
      <c r="J10" s="269" t="s">
        <v>809</v>
      </c>
      <c r="K10" s="269">
        <v>160</v>
      </c>
      <c r="L10" s="269">
        <v>167.5</v>
      </c>
      <c r="M10" s="269">
        <v>-170</v>
      </c>
      <c r="N10" s="269">
        <v>167.5</v>
      </c>
      <c r="O10" s="269" t="s">
        <v>1270</v>
      </c>
      <c r="P10" s="269">
        <v>100</v>
      </c>
      <c r="S10" s="269">
        <v>0</v>
      </c>
      <c r="T10" s="269">
        <v>0</v>
      </c>
      <c r="U10" s="269">
        <v>180</v>
      </c>
      <c r="X10" s="269">
        <v>0</v>
      </c>
      <c r="Y10" s="269">
        <v>0</v>
      </c>
      <c r="Z10" s="33" t="s">
        <v>162</v>
      </c>
      <c r="AA10" s="269">
        <v>447.5</v>
      </c>
      <c r="AB10" s="267">
        <v>4</v>
      </c>
      <c r="AC10" s="266">
        <v>0</v>
      </c>
      <c r="AD10" s="266">
        <v>0</v>
      </c>
      <c r="AE10" s="33" t="s">
        <v>69</v>
      </c>
    </row>
    <row r="11" spans="1:35" ht="18" customHeight="1" x14ac:dyDescent="0.2">
      <c r="A11" s="33" t="s">
        <v>68</v>
      </c>
      <c r="B11" s="265" t="s">
        <v>1240</v>
      </c>
      <c r="C11" s="33" t="s">
        <v>1260</v>
      </c>
      <c r="D11" s="33" t="s">
        <v>1201</v>
      </c>
      <c r="E11" s="266">
        <v>72.3</v>
      </c>
      <c r="F11" s="33" t="s">
        <v>1280</v>
      </c>
      <c r="G11" s="33">
        <v>33</v>
      </c>
      <c r="H11" s="267">
        <v>2</v>
      </c>
      <c r="I11" s="268" t="s">
        <v>1169</v>
      </c>
      <c r="J11" s="269" t="s">
        <v>1268</v>
      </c>
      <c r="K11" s="269">
        <v>155</v>
      </c>
      <c r="L11" s="269">
        <v>165</v>
      </c>
      <c r="M11" s="269">
        <v>-175</v>
      </c>
      <c r="N11" s="269">
        <v>165</v>
      </c>
      <c r="O11" s="269" t="s">
        <v>1269</v>
      </c>
      <c r="P11" s="269">
        <v>85</v>
      </c>
      <c r="S11" s="269">
        <v>0</v>
      </c>
      <c r="T11" s="269">
        <v>0</v>
      </c>
      <c r="U11" s="269">
        <v>180</v>
      </c>
      <c r="X11" s="269">
        <v>0</v>
      </c>
      <c r="Y11" s="269">
        <v>0</v>
      </c>
      <c r="Z11" s="33" t="s">
        <v>162</v>
      </c>
      <c r="AA11" s="269">
        <v>430</v>
      </c>
      <c r="AB11" s="267">
        <v>6</v>
      </c>
      <c r="AC11" s="266">
        <v>0</v>
      </c>
      <c r="AD11" s="266">
        <v>0</v>
      </c>
      <c r="AE11" s="33" t="s">
        <v>69</v>
      </c>
    </row>
    <row r="12" spans="1:35" ht="18" customHeight="1" x14ac:dyDescent="0.2">
      <c r="A12" s="33" t="s">
        <v>68</v>
      </c>
      <c r="B12" s="265" t="s">
        <v>1246</v>
      </c>
      <c r="C12" s="33" t="s">
        <v>1261</v>
      </c>
      <c r="D12" s="33" t="s">
        <v>1201</v>
      </c>
      <c r="E12" s="266">
        <v>73.7</v>
      </c>
      <c r="F12" s="33" t="s">
        <v>1280</v>
      </c>
      <c r="G12" s="33">
        <v>39</v>
      </c>
      <c r="H12" s="267">
        <v>4</v>
      </c>
      <c r="I12" s="268" t="s">
        <v>1169</v>
      </c>
      <c r="J12" s="269" t="s">
        <v>1276</v>
      </c>
      <c r="K12" s="269">
        <v>160</v>
      </c>
      <c r="L12" s="269">
        <v>170</v>
      </c>
      <c r="M12" s="269">
        <v>175</v>
      </c>
      <c r="N12" s="269">
        <v>175</v>
      </c>
      <c r="O12" s="269" t="s">
        <v>808</v>
      </c>
      <c r="P12" s="269">
        <v>105</v>
      </c>
      <c r="S12" s="269">
        <v>0</v>
      </c>
      <c r="T12" s="269">
        <v>0</v>
      </c>
      <c r="U12" s="269">
        <v>200</v>
      </c>
      <c r="X12" s="269">
        <v>0</v>
      </c>
      <c r="Y12" s="269">
        <v>0</v>
      </c>
      <c r="Z12" s="33" t="s">
        <v>162</v>
      </c>
      <c r="AA12" s="269">
        <v>480</v>
      </c>
      <c r="AB12" s="267">
        <v>3</v>
      </c>
      <c r="AC12" s="266">
        <v>0</v>
      </c>
      <c r="AD12" s="266">
        <v>0</v>
      </c>
      <c r="AE12" s="33" t="s">
        <v>69</v>
      </c>
    </row>
    <row r="13" spans="1:35" ht="18" customHeight="1" x14ac:dyDescent="0.2">
      <c r="A13" s="33" t="s">
        <v>70</v>
      </c>
      <c r="B13" s="265" t="s">
        <v>1252</v>
      </c>
      <c r="C13" s="33" t="s">
        <v>1263</v>
      </c>
      <c r="D13" s="33" t="s">
        <v>1201</v>
      </c>
      <c r="E13" s="266">
        <v>71.599999999999994</v>
      </c>
      <c r="F13" s="33" t="s">
        <v>1280</v>
      </c>
      <c r="G13" s="33">
        <v>45</v>
      </c>
      <c r="H13" s="267">
        <v>1</v>
      </c>
      <c r="I13" s="268" t="s">
        <v>1169</v>
      </c>
      <c r="J13" s="269" t="s">
        <v>1268</v>
      </c>
      <c r="K13" s="269">
        <v>110</v>
      </c>
      <c r="N13" s="269">
        <v>0</v>
      </c>
      <c r="O13" s="269" t="s">
        <v>1278</v>
      </c>
      <c r="P13" s="269">
        <v>105</v>
      </c>
      <c r="S13" s="269">
        <v>0</v>
      </c>
      <c r="T13" s="269">
        <v>0</v>
      </c>
      <c r="U13" s="269">
        <v>150</v>
      </c>
      <c r="X13" s="269">
        <v>0</v>
      </c>
      <c r="Y13" s="269">
        <v>0</v>
      </c>
      <c r="Z13" s="33" t="s">
        <v>162</v>
      </c>
      <c r="AA13" s="269">
        <v>365</v>
      </c>
      <c r="AB13" s="267">
        <v>17</v>
      </c>
      <c r="AC13" s="266">
        <v>0</v>
      </c>
      <c r="AD13" s="266">
        <v>0</v>
      </c>
      <c r="AE13" s="33" t="s">
        <v>69</v>
      </c>
    </row>
    <row r="14" spans="1:35" ht="18" customHeight="1" x14ac:dyDescent="0.2">
      <c r="A14" s="33" t="s">
        <v>70</v>
      </c>
      <c r="B14" s="265" t="s">
        <v>1250</v>
      </c>
      <c r="C14" s="33" t="s">
        <v>1264</v>
      </c>
      <c r="D14" s="33" t="s">
        <v>1201</v>
      </c>
      <c r="E14" s="266">
        <v>73.3</v>
      </c>
      <c r="F14" s="33" t="s">
        <v>1280</v>
      </c>
      <c r="G14" s="33">
        <v>43</v>
      </c>
      <c r="H14" s="267">
        <v>4</v>
      </c>
      <c r="I14" s="268" t="s">
        <v>1169</v>
      </c>
      <c r="J14" s="269" t="s">
        <v>1275</v>
      </c>
      <c r="K14" s="269">
        <v>125</v>
      </c>
      <c r="N14" s="269">
        <v>0</v>
      </c>
      <c r="O14" s="269" t="s">
        <v>810</v>
      </c>
      <c r="P14" s="269">
        <v>80</v>
      </c>
      <c r="S14" s="269">
        <v>0</v>
      </c>
      <c r="T14" s="269">
        <v>0</v>
      </c>
      <c r="U14" s="269">
        <v>150</v>
      </c>
      <c r="X14" s="269">
        <v>0</v>
      </c>
      <c r="Y14" s="269">
        <v>0</v>
      </c>
      <c r="Z14" s="33" t="s">
        <v>162</v>
      </c>
      <c r="AA14" s="269">
        <v>355</v>
      </c>
      <c r="AB14" s="267">
        <v>18</v>
      </c>
      <c r="AC14" s="266">
        <v>0</v>
      </c>
      <c r="AD14" s="266">
        <v>0</v>
      </c>
      <c r="AE14" s="33" t="s">
        <v>69</v>
      </c>
    </row>
    <row r="15" spans="1:35" ht="18" customHeight="1" x14ac:dyDescent="0.2">
      <c r="A15" s="33" t="s">
        <v>70</v>
      </c>
      <c r="B15" s="265" t="s">
        <v>1249</v>
      </c>
      <c r="C15" s="33" t="s">
        <v>1261</v>
      </c>
      <c r="D15" s="33" t="s">
        <v>1201</v>
      </c>
      <c r="E15" s="266">
        <v>73.099999999999994</v>
      </c>
      <c r="F15" s="33" t="s">
        <v>1280</v>
      </c>
      <c r="G15" s="33">
        <v>42</v>
      </c>
      <c r="H15" s="267">
        <v>1</v>
      </c>
      <c r="I15" s="268" t="s">
        <v>1169</v>
      </c>
      <c r="J15" s="269" t="s">
        <v>811</v>
      </c>
      <c r="K15" s="269">
        <v>130</v>
      </c>
      <c r="N15" s="269">
        <v>0</v>
      </c>
      <c r="O15" s="269" t="s">
        <v>1274</v>
      </c>
      <c r="P15" s="269">
        <v>70</v>
      </c>
      <c r="S15" s="269">
        <v>0</v>
      </c>
      <c r="T15" s="269">
        <v>0</v>
      </c>
      <c r="U15" s="269">
        <v>170</v>
      </c>
      <c r="X15" s="269">
        <v>0</v>
      </c>
      <c r="Y15" s="269">
        <v>0</v>
      </c>
      <c r="Z15" s="33" t="s">
        <v>162</v>
      </c>
      <c r="AA15" s="269">
        <v>370</v>
      </c>
      <c r="AB15" s="267">
        <v>15</v>
      </c>
      <c r="AC15" s="266">
        <v>0</v>
      </c>
      <c r="AD15" s="266">
        <v>0</v>
      </c>
      <c r="AE15" s="33" t="s">
        <v>69</v>
      </c>
    </row>
    <row r="16" spans="1:35" ht="18" customHeight="1" x14ac:dyDescent="0.2">
      <c r="A16" s="33" t="s">
        <v>70</v>
      </c>
      <c r="B16" s="265" t="s">
        <v>1253</v>
      </c>
      <c r="C16" s="33" t="s">
        <v>1265</v>
      </c>
      <c r="D16" s="33" t="s">
        <v>1201</v>
      </c>
      <c r="E16" s="266">
        <v>73</v>
      </c>
      <c r="F16" s="33" t="s">
        <v>1280</v>
      </c>
      <c r="G16" s="33">
        <v>13</v>
      </c>
      <c r="H16" s="267">
        <v>1</v>
      </c>
      <c r="I16" s="268" t="s">
        <v>1169</v>
      </c>
      <c r="J16" s="269" t="s">
        <v>1271</v>
      </c>
      <c r="K16" s="269">
        <v>150</v>
      </c>
      <c r="N16" s="269">
        <v>0</v>
      </c>
      <c r="O16" s="269" t="s">
        <v>808</v>
      </c>
      <c r="P16" s="269">
        <v>80</v>
      </c>
      <c r="S16" s="269">
        <v>0</v>
      </c>
      <c r="T16" s="269">
        <v>0</v>
      </c>
      <c r="U16" s="269">
        <v>180</v>
      </c>
      <c r="X16" s="269">
        <v>0</v>
      </c>
      <c r="Y16" s="269">
        <v>0</v>
      </c>
      <c r="Z16" s="33" t="s">
        <v>162</v>
      </c>
      <c r="AA16" s="269">
        <v>410</v>
      </c>
      <c r="AB16" s="267">
        <v>10</v>
      </c>
      <c r="AC16" s="266">
        <v>0</v>
      </c>
      <c r="AD16" s="266">
        <v>0</v>
      </c>
      <c r="AE16" s="33" t="s">
        <v>69</v>
      </c>
    </row>
    <row r="17" spans="1:31" ht="18" customHeight="1" x14ac:dyDescent="0.2">
      <c r="A17" s="33" t="s">
        <v>70</v>
      </c>
      <c r="B17" s="265" t="s">
        <v>1256</v>
      </c>
      <c r="C17" s="33" t="s">
        <v>1267</v>
      </c>
      <c r="D17" s="33" t="s">
        <v>1201</v>
      </c>
      <c r="E17" s="266">
        <v>73.8</v>
      </c>
      <c r="F17" s="33" t="s">
        <v>1280</v>
      </c>
      <c r="G17" s="33">
        <v>49</v>
      </c>
      <c r="H17" s="267">
        <v>3</v>
      </c>
      <c r="I17" s="268" t="s">
        <v>1169</v>
      </c>
      <c r="J17" s="269" t="s">
        <v>1276</v>
      </c>
      <c r="K17" s="269">
        <v>155</v>
      </c>
      <c r="N17" s="269">
        <v>0</v>
      </c>
      <c r="O17" s="269" t="s">
        <v>1277</v>
      </c>
      <c r="P17" s="269">
        <v>115</v>
      </c>
      <c r="S17" s="269">
        <v>0</v>
      </c>
      <c r="T17" s="269">
        <v>0</v>
      </c>
      <c r="U17" s="269">
        <v>175</v>
      </c>
      <c r="X17" s="269">
        <v>0</v>
      </c>
      <c r="Y17" s="269">
        <v>0</v>
      </c>
      <c r="Z17" s="33" t="s">
        <v>162</v>
      </c>
      <c r="AA17" s="269">
        <v>445</v>
      </c>
      <c r="AB17" s="267">
        <v>5</v>
      </c>
      <c r="AC17" s="266">
        <v>0</v>
      </c>
      <c r="AD17" s="266">
        <v>0</v>
      </c>
      <c r="AE17" s="33" t="s">
        <v>69</v>
      </c>
    </row>
    <row r="18" spans="1:31" ht="18" customHeight="1" x14ac:dyDescent="0.2">
      <c r="A18" s="33" t="s">
        <v>70</v>
      </c>
      <c r="B18" s="265" t="s">
        <v>1248</v>
      </c>
      <c r="C18" s="33" t="s">
        <v>1261</v>
      </c>
      <c r="D18" s="33" t="s">
        <v>1201</v>
      </c>
      <c r="E18" s="266">
        <v>73.5</v>
      </c>
      <c r="F18" s="33" t="s">
        <v>1280</v>
      </c>
      <c r="G18" s="33">
        <v>41</v>
      </c>
      <c r="H18" s="267">
        <v>3</v>
      </c>
      <c r="I18" s="268" t="s">
        <v>1169</v>
      </c>
      <c r="J18" s="269" t="s">
        <v>1271</v>
      </c>
      <c r="K18" s="269">
        <v>160</v>
      </c>
      <c r="N18" s="269">
        <v>0</v>
      </c>
      <c r="O18" s="269" t="s">
        <v>808</v>
      </c>
      <c r="P18" s="269">
        <v>105</v>
      </c>
      <c r="S18" s="269">
        <v>0</v>
      </c>
      <c r="T18" s="269">
        <v>0</v>
      </c>
      <c r="U18" s="269">
        <v>150</v>
      </c>
      <c r="X18" s="269">
        <v>0</v>
      </c>
      <c r="Y18" s="269">
        <v>0</v>
      </c>
      <c r="Z18" s="33" t="s">
        <v>162</v>
      </c>
      <c r="AA18" s="269">
        <v>415</v>
      </c>
      <c r="AB18" s="267">
        <v>9</v>
      </c>
      <c r="AC18" s="266">
        <v>0</v>
      </c>
      <c r="AD18" s="266">
        <v>0</v>
      </c>
      <c r="AE18" s="33" t="s">
        <v>69</v>
      </c>
    </row>
    <row r="19" spans="1:31" ht="18" customHeight="1" x14ac:dyDescent="0.2">
      <c r="A19" s="33" t="s">
        <v>70</v>
      </c>
      <c r="B19" s="265" t="s">
        <v>1251</v>
      </c>
      <c r="C19" s="33" t="s">
        <v>1261</v>
      </c>
      <c r="D19" s="33" t="s">
        <v>1201</v>
      </c>
      <c r="E19" s="266">
        <v>74</v>
      </c>
      <c r="F19" s="33" t="s">
        <v>1280</v>
      </c>
      <c r="G19" s="33">
        <v>44</v>
      </c>
      <c r="H19" s="267">
        <v>4</v>
      </c>
      <c r="I19" s="268" t="s">
        <v>1169</v>
      </c>
      <c r="J19" s="269" t="s">
        <v>811</v>
      </c>
      <c r="K19" s="269">
        <v>160</v>
      </c>
      <c r="N19" s="269">
        <v>0</v>
      </c>
      <c r="O19" s="269" t="s">
        <v>1268</v>
      </c>
      <c r="P19" s="269">
        <v>90</v>
      </c>
      <c r="S19" s="269">
        <v>0</v>
      </c>
      <c r="T19" s="269">
        <v>0</v>
      </c>
      <c r="U19" s="269">
        <v>180</v>
      </c>
      <c r="X19" s="269">
        <v>0</v>
      </c>
      <c r="Y19" s="269">
        <v>0</v>
      </c>
      <c r="Z19" s="33" t="s">
        <v>162</v>
      </c>
      <c r="AA19" s="269">
        <v>430</v>
      </c>
      <c r="AB19" s="267">
        <v>7</v>
      </c>
      <c r="AC19" s="266">
        <v>0</v>
      </c>
      <c r="AD19" s="266">
        <v>0</v>
      </c>
      <c r="AE19" s="33" t="s">
        <v>69</v>
      </c>
    </row>
    <row r="20" spans="1:31" ht="18" customHeight="1" x14ac:dyDescent="0.2">
      <c r="A20" s="33" t="s">
        <v>70</v>
      </c>
      <c r="B20" s="265" t="s">
        <v>1255</v>
      </c>
      <c r="C20" s="33" t="s">
        <v>1266</v>
      </c>
      <c r="D20" s="33" t="s">
        <v>1201</v>
      </c>
      <c r="E20" s="266">
        <v>73.599999999999994</v>
      </c>
      <c r="F20" s="33" t="s">
        <v>1280</v>
      </c>
      <c r="G20" s="33">
        <v>48</v>
      </c>
      <c r="H20" s="267">
        <v>4</v>
      </c>
      <c r="I20" s="268" t="s">
        <v>1169</v>
      </c>
      <c r="J20" s="269" t="s">
        <v>810</v>
      </c>
      <c r="K20" s="269">
        <v>162.5</v>
      </c>
      <c r="N20" s="269">
        <v>0</v>
      </c>
      <c r="O20" s="269" t="s">
        <v>1268</v>
      </c>
      <c r="P20" s="269">
        <v>122.5</v>
      </c>
      <c r="S20" s="269">
        <v>0</v>
      </c>
      <c r="T20" s="269">
        <v>0</v>
      </c>
      <c r="U20" s="269">
        <v>205</v>
      </c>
      <c r="X20" s="269">
        <v>0</v>
      </c>
      <c r="Y20" s="269">
        <v>0</v>
      </c>
      <c r="Z20" s="33" t="s">
        <v>162</v>
      </c>
      <c r="AA20" s="269">
        <v>490</v>
      </c>
      <c r="AB20" s="267">
        <v>2</v>
      </c>
      <c r="AC20" s="266">
        <v>0</v>
      </c>
      <c r="AD20" s="266">
        <v>0</v>
      </c>
      <c r="AE20" s="33" t="s">
        <v>69</v>
      </c>
    </row>
    <row r="21" spans="1:31" ht="18" customHeight="1" x14ac:dyDescent="0.2">
      <c r="A21" s="33" t="s">
        <v>70</v>
      </c>
      <c r="B21" s="265" t="s">
        <v>1254</v>
      </c>
      <c r="C21" s="33" t="s">
        <v>1264</v>
      </c>
      <c r="D21" s="33" t="s">
        <v>1201</v>
      </c>
      <c r="E21" s="266">
        <v>72.599999999999994</v>
      </c>
      <c r="F21" s="33" t="s">
        <v>1280</v>
      </c>
      <c r="G21" s="33">
        <v>47</v>
      </c>
      <c r="H21" s="267">
        <v>4</v>
      </c>
      <c r="I21" s="268" t="s">
        <v>1169</v>
      </c>
      <c r="J21" s="269" t="s">
        <v>808</v>
      </c>
      <c r="K21" s="269">
        <v>170</v>
      </c>
      <c r="N21" s="269">
        <v>0</v>
      </c>
      <c r="O21" s="269" t="s">
        <v>1274</v>
      </c>
      <c r="P21" s="269">
        <v>95</v>
      </c>
      <c r="S21" s="269">
        <v>0</v>
      </c>
      <c r="T21" s="269">
        <v>0</v>
      </c>
      <c r="U21" s="269">
        <v>160</v>
      </c>
      <c r="X21" s="269">
        <v>0</v>
      </c>
      <c r="Y21" s="269">
        <v>0</v>
      </c>
      <c r="Z21" s="33" t="s">
        <v>162</v>
      </c>
      <c r="AA21" s="269">
        <v>425</v>
      </c>
      <c r="AB21" s="267">
        <v>8</v>
      </c>
      <c r="AC21" s="266">
        <v>0</v>
      </c>
      <c r="AD21" s="266">
        <v>0</v>
      </c>
      <c r="AE21" s="33" t="s">
        <v>69</v>
      </c>
    </row>
    <row r="22" spans="1:31" ht="18" customHeight="1" x14ac:dyDescent="0.2">
      <c r="A22" s="33" t="s">
        <v>70</v>
      </c>
      <c r="B22" s="265" t="s">
        <v>1257</v>
      </c>
      <c r="C22" s="33" t="s">
        <v>1259</v>
      </c>
      <c r="D22" s="33" t="s">
        <v>1201</v>
      </c>
      <c r="E22" s="266">
        <v>73.900000000000006</v>
      </c>
      <c r="F22" s="33" t="s">
        <v>1280</v>
      </c>
      <c r="G22" s="33">
        <v>50</v>
      </c>
      <c r="H22" s="267">
        <v>1</v>
      </c>
      <c r="I22" s="268" t="s">
        <v>1169</v>
      </c>
      <c r="J22" s="269" t="s">
        <v>1276</v>
      </c>
      <c r="K22" s="269">
        <v>190</v>
      </c>
      <c r="N22" s="269">
        <v>0</v>
      </c>
      <c r="O22" s="269" t="s">
        <v>1268</v>
      </c>
      <c r="P22" s="269">
        <v>112.5</v>
      </c>
      <c r="S22" s="269">
        <v>0</v>
      </c>
      <c r="T22" s="269">
        <v>0</v>
      </c>
      <c r="U22" s="269">
        <v>235</v>
      </c>
      <c r="X22" s="269">
        <v>0</v>
      </c>
      <c r="Y22" s="269">
        <v>0</v>
      </c>
      <c r="Z22" s="33" t="s">
        <v>162</v>
      </c>
      <c r="AA22" s="269">
        <v>537.5</v>
      </c>
      <c r="AB22" s="267">
        <v>1</v>
      </c>
      <c r="AC22" s="266">
        <v>0</v>
      </c>
      <c r="AD22" s="266">
        <v>0</v>
      </c>
      <c r="AE22" s="33" t="s">
        <v>69</v>
      </c>
    </row>
  </sheetData>
  <phoneticPr fontId="72"/>
  <conditionalFormatting sqref="K1:O1 K3:W1048576">
    <cfRule type="expression" dxfId="10" priority="382" stopIfTrue="1">
      <formula>AND(K1&lt;0)</formula>
    </cfRule>
  </conditionalFormatting>
  <conditionalFormatting sqref="K2:W2">
    <cfRule type="expression" dxfId="9" priority="28" stopIfTrue="1">
      <formula>AND(K2&lt;0)</formula>
    </cfRule>
  </conditionalFormatting>
  <conditionalFormatting sqref="P1:U1">
    <cfRule type="expression" dxfId="8" priority="5" stopIfTrue="1">
      <formula>AND(P1&lt;0)</formula>
    </cfRule>
  </conditionalFormatting>
  <pageMargins left="0.25" right="0.25" top="0.75" bottom="0.75" header="0.3" footer="0.3"/>
  <pageSetup scale="79" fitToHeight="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7" r:id="rId4" name="Button 3">
              <controlPr defaultSize="0" print="0" autoFill="0" autoPict="0" macro="[0]!ButtonQuickPrintClear">
                <anchor moveWithCells="1" sizeWithCells="1">
                  <from>
                    <xdr:col>35</xdr:col>
                    <xdr:colOff>142875</xdr:colOff>
                    <xdr:row>0</xdr:row>
                    <xdr:rowOff>47625</xdr:rowOff>
                  </from>
                  <to>
                    <xdr:col>36</xdr:col>
                    <xdr:colOff>295275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00B050"/>
  </sheetPr>
  <dimension ref="A1:W17"/>
  <sheetViews>
    <sheetView showGridLines="0" showRowColHeaders="0" zoomScale="380" zoomScaleNormal="380" workbookViewId="0">
      <selection activeCell="A2" sqref="A2:E2"/>
    </sheetView>
  </sheetViews>
  <sheetFormatPr defaultRowHeight="12.75" x14ac:dyDescent="0.2"/>
  <cols>
    <col min="1" max="1" width="9.28515625" style="1" customWidth="1"/>
    <col min="2" max="2" width="20.5703125" style="1" customWidth="1"/>
    <col min="3" max="3" width="9.42578125" style="49" bestFit="1" customWidth="1"/>
    <col min="4" max="4" width="10.5703125" style="50" bestFit="1" customWidth="1"/>
    <col min="5" max="5" width="14" hidden="1" customWidth="1"/>
    <col min="8" max="16" width="8.85546875" hidden="1" customWidth="1"/>
    <col min="17" max="17" width="12.42578125" hidden="1" customWidth="1"/>
    <col min="18" max="20" width="8.85546875" hidden="1" customWidth="1"/>
    <col min="21" max="21" width="9.28515625" hidden="1" customWidth="1"/>
    <col min="22" max="23" width="8.85546875" hidden="1" customWidth="1"/>
    <col min="24" max="24" width="9.140625" customWidth="1"/>
  </cols>
  <sheetData>
    <row r="1" spans="1:22" ht="63" customHeight="1" x14ac:dyDescent="0.2">
      <c r="B1" s="103"/>
      <c r="L1" t="s">
        <v>169</v>
      </c>
      <c r="M1">
        <f>COUNTA(P:P)+1</f>
        <v>13</v>
      </c>
    </row>
    <row r="2" spans="1:22" ht="18" x14ac:dyDescent="0.25">
      <c r="A2" s="435" t="s">
        <v>1080</v>
      </c>
      <c r="B2" s="435"/>
      <c r="C2" s="435"/>
      <c r="D2" s="435"/>
      <c r="E2" s="435"/>
      <c r="J2" t="e">
        <f ca="1">OFFSET($V$1,MATCH(A2,$U:$U,0)-1,0)</f>
        <v>#N/A</v>
      </c>
      <c r="L2" t="str">
        <f>CONCATENATE("U3:U",M1)</f>
        <v>U3:U13</v>
      </c>
      <c r="P2" t="s">
        <v>56</v>
      </c>
      <c r="Q2" t="s">
        <v>1079</v>
      </c>
      <c r="R2" t="s">
        <v>163</v>
      </c>
    </row>
    <row r="3" spans="1:22" ht="18" x14ac:dyDescent="0.25">
      <c r="A3" s="306" t="s">
        <v>170</v>
      </c>
      <c r="B3" s="306" t="s">
        <v>171</v>
      </c>
      <c r="C3" s="307" t="str">
        <f>Lifting!E3</f>
        <v>Kg</v>
      </c>
      <c r="D3" s="308" t="s">
        <v>854</v>
      </c>
      <c r="E3" s="72" t="s">
        <v>55</v>
      </c>
      <c r="I3" s="1" t="s">
        <v>172</v>
      </c>
      <c r="L3" t="s">
        <v>69</v>
      </c>
      <c r="M3" s="47" t="s">
        <v>164</v>
      </c>
      <c r="P3" t="s">
        <v>1201</v>
      </c>
      <c r="Q3">
        <v>105</v>
      </c>
      <c r="R3" t="s">
        <v>69</v>
      </c>
      <c r="S3" t="str">
        <f>IF($P3="Wilks",$P3,VLOOKUP($P3,Setup!$I:$J,2,FALSE))</f>
        <v>Raw Men (19-23)</v>
      </c>
      <c r="T3" t="str">
        <f>VLOOKUP(R3,$L$3:$M$7,2,FALSE)</f>
        <v>3-Lift</v>
      </c>
      <c r="U3" t="str">
        <f>CONCATENATE($S3," ",$T3," ",IF($Q3="","",CONCATENATE($Q3,"-",$M$10)))</f>
        <v>Raw Men (19-23) 3-Lift 105-kg cls</v>
      </c>
      <c r="V3" t="str">
        <f>CONCATENATE(P3,"/",Q3,"/",R3)</f>
        <v>M-JR-U/105/PL</v>
      </c>
    </row>
    <row r="4" spans="1:22" ht="18" x14ac:dyDescent="0.25">
      <c r="A4" s="309">
        <v>1</v>
      </c>
      <c r="B4" s="309" t="str">
        <f t="shared" ref="B4:B9" ca="1" si="0">IFERROR(INDIRECT(CONCATENATE("QuickPrint!B",I4)),"")</f>
        <v/>
      </c>
      <c r="C4" s="310" t="str">
        <f t="shared" ref="C4:C9" ca="1" si="1">IFERROR(INDIRECT(CONCATENATE("QuickPrint!Y",I4)),"")</f>
        <v/>
      </c>
      <c r="D4" s="311" t="str">
        <f t="shared" ref="D4:D9" ca="1" si="2">IFERROR(INDIRECT(CONCATENATE("QuickPrint!",IF($J$10=3,"AD","AC"),I4)),"")</f>
        <v/>
      </c>
      <c r="E4" s="312" t="str">
        <f ca="1">IFERROR(VLOOKUP(INDIRECT(CONCATENATE("QuickPrint!c",I4)),Setup!$M$6:$N$93,2,FALSE),"")</f>
        <v/>
      </c>
      <c r="I4" s="1" t="e">
        <f ca="1">MATCH(J4,INDIRECT(CONCATENATE("QuickPrint!$Z:$Z")),0)</f>
        <v>#N/A</v>
      </c>
      <c r="J4" t="e">
        <f ca="1">CONCATENATE("1/",$J$2)</f>
        <v>#N/A</v>
      </c>
      <c r="L4" t="s">
        <v>141</v>
      </c>
      <c r="M4" s="47" t="s">
        <v>165</v>
      </c>
      <c r="P4" t="s">
        <v>1201</v>
      </c>
      <c r="Q4">
        <v>74</v>
      </c>
      <c r="R4" t="s">
        <v>69</v>
      </c>
      <c r="S4" t="str">
        <f>IF($P4="Wilks",$P4,VLOOKUP($P4,Setup!$I:$J,2,FALSE))</f>
        <v>Raw Men (19-23)</v>
      </c>
      <c r="T4" t="str">
        <f t="shared" ref="T4:T13" si="3">VLOOKUP(R4,$L$3:$M$7,2,FALSE)</f>
        <v>3-Lift</v>
      </c>
      <c r="U4" t="str">
        <f t="shared" ref="U4:U13" si="4">CONCATENATE($S4," ",$T4," ",IF($Q4="","",CONCATENATE($Q4,"-",$M$10)))</f>
        <v>Raw Men (19-23) 3-Lift 74-kg cls</v>
      </c>
      <c r="V4" t="str">
        <f t="shared" ref="V4:V13" si="5">CONCATENATE(P4,"/",Q4,"/",R4)</f>
        <v>M-JR-U/74/PL</v>
      </c>
    </row>
    <row r="5" spans="1:22" ht="18" x14ac:dyDescent="0.25">
      <c r="A5" s="313">
        <v>2</v>
      </c>
      <c r="B5" s="313" t="str">
        <f t="shared" ca="1" si="0"/>
        <v/>
      </c>
      <c r="C5" s="314" t="str">
        <f t="shared" ca="1" si="1"/>
        <v/>
      </c>
      <c r="D5" s="315" t="str">
        <f t="shared" ca="1" si="2"/>
        <v/>
      </c>
      <c r="E5" s="316" t="str">
        <f ca="1">IFERROR(VLOOKUP(INDIRECT(CONCATENATE("QuickPrint!c",I5)),Setup!$M$6:$N$93,2,FALSE),"")</f>
        <v/>
      </c>
      <c r="I5" s="1" t="e">
        <f ca="1">MATCH(J5,INDIRECT(CONCATENATE("QuickPrint!$Z:$Z")),0)</f>
        <v>#N/A</v>
      </c>
      <c r="J5" t="e">
        <f ca="1">CONCATENATE("2/",$J$2)</f>
        <v>#N/A</v>
      </c>
      <c r="L5" t="s">
        <v>140</v>
      </c>
      <c r="M5" s="47" t="s">
        <v>166</v>
      </c>
      <c r="P5" t="s">
        <v>929</v>
      </c>
      <c r="Q5">
        <v>93</v>
      </c>
      <c r="R5" t="s">
        <v>69</v>
      </c>
      <c r="S5" t="str">
        <f>IF($P5="Wilks",$P5,VLOOKUP($P5,Setup!$I:$J,2,FALSE))</f>
        <v>Raw Men</v>
      </c>
      <c r="T5" t="str">
        <f t="shared" si="3"/>
        <v>3-Lift</v>
      </c>
      <c r="U5" t="str">
        <f t="shared" si="4"/>
        <v>Raw Men 3-Lift 93-kg cls</v>
      </c>
      <c r="V5" t="str">
        <f t="shared" si="5"/>
        <v>M-O-U/93/PL</v>
      </c>
    </row>
    <row r="6" spans="1:22" ht="18" x14ac:dyDescent="0.25">
      <c r="A6" s="317">
        <v>3</v>
      </c>
      <c r="B6" s="317" t="str">
        <f t="shared" ca="1" si="0"/>
        <v/>
      </c>
      <c r="C6" s="318" t="str">
        <f t="shared" ca="1" si="1"/>
        <v/>
      </c>
      <c r="D6" s="319" t="str">
        <f t="shared" ca="1" si="2"/>
        <v/>
      </c>
      <c r="E6" s="320" t="str">
        <f ca="1">IFERROR(VLOOKUP(INDIRECT(CONCATENATE("QuickPrint!c",I6)),Setup!$M$6:$N$93,2,FALSE),"")</f>
        <v/>
      </c>
      <c r="I6" s="1" t="e">
        <f ca="1">MATCH(J6,INDIRECT(CONCATENATE("QuickPrint!$Z:$Z")),0)</f>
        <v>#N/A</v>
      </c>
      <c r="J6" t="e">
        <f ca="1">CONCATENATE("3/",$J$2)</f>
        <v>#N/A</v>
      </c>
      <c r="L6" t="s">
        <v>142</v>
      </c>
      <c r="M6" s="47" t="s">
        <v>167</v>
      </c>
      <c r="P6" t="s">
        <v>929</v>
      </c>
      <c r="Q6">
        <v>105</v>
      </c>
      <c r="R6" t="s">
        <v>69</v>
      </c>
      <c r="S6" t="str">
        <f>IF($P6="Wilks",$P6,VLOOKUP($P6,Setup!$I:$J,2,FALSE))</f>
        <v>Raw Men</v>
      </c>
      <c r="T6" t="str">
        <f t="shared" si="3"/>
        <v>3-Lift</v>
      </c>
      <c r="U6" t="str">
        <f t="shared" si="4"/>
        <v>Raw Men 3-Lift 105-kg cls</v>
      </c>
      <c r="V6" t="str">
        <f t="shared" si="5"/>
        <v>M-O-U/105/PL</v>
      </c>
    </row>
    <row r="7" spans="1:22" hidden="1" x14ac:dyDescent="0.2">
      <c r="A7" s="1">
        <v>4</v>
      </c>
      <c r="B7" s="1" t="str">
        <f t="shared" ca="1" si="0"/>
        <v/>
      </c>
      <c r="C7" s="49" t="str">
        <f t="shared" ca="1" si="1"/>
        <v/>
      </c>
      <c r="D7" s="50" t="str">
        <f t="shared" ca="1" si="2"/>
        <v/>
      </c>
      <c r="E7" t="str">
        <f ca="1">IFERROR(VLOOKUP(INDIRECT(CONCATENATE("QuickPrint!c",I7)),Setup!$M$6:$N$93,2,FALSE),"")</f>
        <v/>
      </c>
      <c r="I7" s="1" t="e">
        <f ca="1">MATCH(J7,INDIRECT(CONCATENATE("QuickPrint!$Z:$Z")),0)</f>
        <v>#N/A</v>
      </c>
      <c r="J7" t="e">
        <f ca="1">CONCATENATE("4/",$J$2)</f>
        <v>#N/A</v>
      </c>
      <c r="L7" t="s">
        <v>139</v>
      </c>
      <c r="M7" s="47" t="s">
        <v>168</v>
      </c>
      <c r="P7" t="s">
        <v>929</v>
      </c>
      <c r="Q7">
        <v>83</v>
      </c>
      <c r="R7" t="s">
        <v>69</v>
      </c>
      <c r="S7" t="str">
        <f>IF($P7="Wilks",$P7,VLOOKUP($P7,Setup!$I:$J,2,FALSE))</f>
        <v>Raw Men</v>
      </c>
      <c r="T7" t="str">
        <f t="shared" si="3"/>
        <v>3-Lift</v>
      </c>
      <c r="U7" t="str">
        <f t="shared" si="4"/>
        <v>Raw Men 3-Lift 83-kg cls</v>
      </c>
      <c r="V7" t="str">
        <f t="shared" si="5"/>
        <v>M-O-U/83/PL</v>
      </c>
    </row>
    <row r="8" spans="1:22" hidden="1" x14ac:dyDescent="0.2">
      <c r="A8" s="1">
        <v>5</v>
      </c>
      <c r="B8" s="1" t="str">
        <f t="shared" ca="1" si="0"/>
        <v/>
      </c>
      <c r="C8" s="49" t="str">
        <f t="shared" ca="1" si="1"/>
        <v/>
      </c>
      <c r="D8" s="50" t="str">
        <f t="shared" ca="1" si="2"/>
        <v/>
      </c>
      <c r="E8" t="str">
        <f ca="1">IFERROR(VLOOKUP(INDIRECT(CONCATENATE("QuickPrint!c",I8)),Setup!$M$6:$N$93,2,FALSE),"")</f>
        <v/>
      </c>
      <c r="I8" s="1" t="e">
        <f ca="1">MATCH(J8,INDIRECT(CONCATENATE("QuickPrint!$Z:$Z")),0)</f>
        <v>#N/A</v>
      </c>
      <c r="J8" t="e">
        <f ca="1">CONCATENATE("5/",$J$2)</f>
        <v>#N/A</v>
      </c>
      <c r="P8" t="s">
        <v>930</v>
      </c>
      <c r="Q8">
        <v>83</v>
      </c>
      <c r="R8" t="s">
        <v>69</v>
      </c>
      <c r="S8" t="str">
        <f>IF($P8="Wilks",$P8,VLOOKUP($P8,Setup!$I:$J,2,FALSE))</f>
        <v>Raw Men (40-49)</v>
      </c>
      <c r="T8" t="str">
        <f t="shared" si="3"/>
        <v>3-Lift</v>
      </c>
      <c r="U8" t="str">
        <f t="shared" si="4"/>
        <v>Raw Men (40-49) 3-Lift 83-kg cls</v>
      </c>
      <c r="V8" t="str">
        <f t="shared" si="5"/>
        <v>M-M1-U/83/PL</v>
      </c>
    </row>
    <row r="9" spans="1:22" hidden="1" x14ac:dyDescent="0.2">
      <c r="A9" s="1">
        <v>6</v>
      </c>
      <c r="B9" s="1" t="str">
        <f t="shared" ca="1" si="0"/>
        <v/>
      </c>
      <c r="C9" s="49" t="str">
        <f t="shared" ca="1" si="1"/>
        <v/>
      </c>
      <c r="D9" s="50" t="str">
        <f t="shared" ca="1" si="2"/>
        <v/>
      </c>
      <c r="P9" t="s">
        <v>930</v>
      </c>
      <c r="Q9">
        <v>74</v>
      </c>
      <c r="R9" t="s">
        <v>69</v>
      </c>
      <c r="S9" t="str">
        <f>IF($P9="Wilks",$P9,VLOOKUP($P9,Setup!$I:$J,2,FALSE))</f>
        <v>Raw Men (40-49)</v>
      </c>
      <c r="T9" t="str">
        <f t="shared" si="3"/>
        <v>3-Lift</v>
      </c>
      <c r="U9" t="str">
        <f t="shared" si="4"/>
        <v>Raw Men (40-49) 3-Lift 74-kg cls</v>
      </c>
      <c r="V9" t="str">
        <f t="shared" si="5"/>
        <v>M-M1-U/74/PL</v>
      </c>
    </row>
    <row r="10" spans="1:22" x14ac:dyDescent="0.2">
      <c r="I10" s="48" t="s">
        <v>173</v>
      </c>
      <c r="J10" s="1" t="e">
        <f ca="1">IF(P3="Wilks",4,VLOOKUP(OFFSET($P$1,MATCH(A2,$U:$U,0)-1,0),Setup!I5:K200,3,FALSE))</f>
        <v>#N/A</v>
      </c>
      <c r="L10">
        <f>Setup!B39</f>
        <v>0</v>
      </c>
      <c r="M10" s="47" t="str">
        <f>IF(L10="Pounds","lb cls","kg cls")</f>
        <v>kg cls</v>
      </c>
      <c r="P10" t="s">
        <v>932</v>
      </c>
      <c r="Q10">
        <v>83</v>
      </c>
      <c r="R10" t="s">
        <v>69</v>
      </c>
      <c r="S10" t="str">
        <f>IF($P10="Wilks",$P10,VLOOKUP($P10,Setup!$I:$J,2,FALSE))</f>
        <v>Raw Men (60-69)</v>
      </c>
      <c r="T10" t="str">
        <f t="shared" si="3"/>
        <v>3-Lift</v>
      </c>
      <c r="U10" t="str">
        <f t="shared" si="4"/>
        <v>Raw Men (60-69) 3-Lift 83-kg cls</v>
      </c>
      <c r="V10" t="str">
        <f t="shared" si="5"/>
        <v>M-M3-U/83/PL</v>
      </c>
    </row>
    <row r="11" spans="1:22" x14ac:dyDescent="0.2">
      <c r="P11" t="s">
        <v>933</v>
      </c>
      <c r="Q11">
        <v>74</v>
      </c>
      <c r="R11" t="s">
        <v>69</v>
      </c>
      <c r="S11" t="str">
        <f>IF($P11="Wilks",$P11,VLOOKUP($P11,Setup!$I:$J,2,FALSE))</f>
        <v>Raw Men (70+)-</v>
      </c>
      <c r="T11" t="str">
        <f t="shared" si="3"/>
        <v>3-Lift</v>
      </c>
      <c r="U11" t="str">
        <f t="shared" si="4"/>
        <v>Raw Men (70+)- 3-Lift 74-kg cls</v>
      </c>
      <c r="V11" t="str">
        <f t="shared" si="5"/>
        <v>M-M4-U/74/PL</v>
      </c>
    </row>
    <row r="12" spans="1:22" x14ac:dyDescent="0.2">
      <c r="P12" t="s">
        <v>1199</v>
      </c>
      <c r="Q12">
        <v>93</v>
      </c>
      <c r="R12" t="s">
        <v>69</v>
      </c>
      <c r="S12" t="str">
        <f>IF($P12="Wilks",$P12,VLOOKUP($P12,Setup!$I:$J,2,FALSE))</f>
        <v>Raw Men</v>
      </c>
      <c r="T12" t="str">
        <f t="shared" si="3"/>
        <v>3-Lift</v>
      </c>
      <c r="U12" t="str">
        <f t="shared" si="4"/>
        <v>Raw Men 3-Lift 93-kg cls</v>
      </c>
      <c r="V12" t="str">
        <f t="shared" si="5"/>
        <v>M-P-U/93/PL</v>
      </c>
    </row>
    <row r="13" spans="1:22" x14ac:dyDescent="0.2">
      <c r="P13" t="s">
        <v>1199</v>
      </c>
      <c r="Q13">
        <v>83</v>
      </c>
      <c r="R13" t="s">
        <v>69</v>
      </c>
      <c r="S13" t="str">
        <f>IF($P13="Wilks",$P13,VLOOKUP($P13,Setup!$I:$J,2,FALSE))</f>
        <v>Raw Men</v>
      </c>
      <c r="T13" t="str">
        <f t="shared" si="3"/>
        <v>3-Lift</v>
      </c>
      <c r="U13" t="str">
        <f t="shared" si="4"/>
        <v>Raw Men 3-Lift 83-kg cls</v>
      </c>
      <c r="V13" t="str">
        <f t="shared" si="5"/>
        <v>M-P-U/83/PL</v>
      </c>
    </row>
    <row r="17" spans="5:15" x14ac:dyDescent="0.2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A2:E2"/>
  </mergeCells>
  <phoneticPr fontId="72"/>
  <dataValidations count="1">
    <dataValidation type="list" allowBlank="1" showInputMessage="1" showErrorMessage="1" sqref="A2" xr:uid="{00000000-0002-0000-0700-000000000000}">
      <formula1>INDIRECT($L$2)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O26"/>
  <sheetViews>
    <sheetView workbookViewId="0">
      <selection activeCell="I25" sqref="A1:O26"/>
    </sheetView>
  </sheetViews>
  <sheetFormatPr defaultColWidth="9.28515625" defaultRowHeight="12.75" x14ac:dyDescent="0.2"/>
  <cols>
    <col min="1" max="1" width="10" style="58" customWidth="1"/>
    <col min="2" max="3" width="9.28515625" style="58"/>
    <col min="4" max="4" width="9.7109375" style="58" customWidth="1"/>
    <col min="5" max="5" width="10.28515625" style="58" customWidth="1"/>
    <col min="6" max="6" width="11" style="58" customWidth="1"/>
    <col min="7" max="7" width="9.28515625" style="58" customWidth="1"/>
    <col min="8" max="8" width="3.5703125" style="58" customWidth="1"/>
    <col min="9" max="9" width="10" style="58" customWidth="1"/>
    <col min="10" max="11" width="9.28515625" style="58"/>
    <col min="12" max="12" width="9.7109375" style="58" customWidth="1"/>
    <col min="13" max="13" width="10.28515625" style="58" customWidth="1"/>
    <col min="14" max="14" width="11" style="58" customWidth="1"/>
    <col min="15" max="15" width="9.28515625" style="58" customWidth="1"/>
    <col min="16" max="16384" width="9.28515625" style="58"/>
  </cols>
  <sheetData>
    <row r="1" spans="1:15" ht="63" customHeight="1" thickBot="1" x14ac:dyDescent="0.25"/>
    <row r="2" spans="1:15" ht="25.15" customHeight="1" x14ac:dyDescent="0.2">
      <c r="A2" s="457" t="str">
        <f>Setup!$B$6</f>
        <v>第113回関東学生パワーリフティング選手権大会</v>
      </c>
      <c r="B2" s="458"/>
      <c r="C2" s="458"/>
      <c r="D2" s="458"/>
      <c r="E2" s="459"/>
      <c r="F2" s="171" t="s">
        <v>914</v>
      </c>
      <c r="G2" s="143" t="s">
        <v>68</v>
      </c>
      <c r="H2" s="144"/>
      <c r="I2" s="457" t="str">
        <f>Setup!$B$6</f>
        <v>第113回関東学生パワーリフティング選手権大会</v>
      </c>
      <c r="J2" s="458"/>
      <c r="K2" s="458"/>
      <c r="L2" s="458"/>
      <c r="M2" s="459"/>
      <c r="N2" s="171" t="s">
        <v>914</v>
      </c>
      <c r="O2" s="143" t="s">
        <v>68</v>
      </c>
    </row>
    <row r="3" spans="1:15" ht="25.15" customHeight="1" x14ac:dyDescent="0.2">
      <c r="A3" s="170" t="s">
        <v>802</v>
      </c>
      <c r="B3" s="449" t="s">
        <v>807</v>
      </c>
      <c r="C3" s="449"/>
      <c r="D3" s="449"/>
      <c r="E3" s="169"/>
      <c r="F3" s="172" t="s">
        <v>185</v>
      </c>
      <c r="G3" s="145">
        <v>5</v>
      </c>
      <c r="H3" s="144"/>
      <c r="I3" s="170" t="s">
        <v>802</v>
      </c>
      <c r="J3" s="449" t="s">
        <v>804</v>
      </c>
      <c r="K3" s="449"/>
      <c r="L3" s="449"/>
      <c r="M3" s="169"/>
      <c r="N3" s="172" t="s">
        <v>185</v>
      </c>
      <c r="O3" s="145">
        <v>2</v>
      </c>
    </row>
    <row r="4" spans="1:15" ht="25.15" customHeight="1" x14ac:dyDescent="0.2">
      <c r="A4" s="170" t="s">
        <v>913</v>
      </c>
      <c r="B4" s="146">
        <v>32878</v>
      </c>
      <c r="C4" s="173" t="s">
        <v>194</v>
      </c>
      <c r="D4" s="442" t="s">
        <v>6</v>
      </c>
      <c r="E4" s="443"/>
      <c r="F4" s="172" t="s">
        <v>186</v>
      </c>
      <c r="G4" s="147">
        <v>72</v>
      </c>
      <c r="H4" s="144"/>
      <c r="I4" s="170" t="s">
        <v>913</v>
      </c>
      <c r="J4" s="146">
        <v>32875</v>
      </c>
      <c r="K4" s="173" t="s">
        <v>194</v>
      </c>
      <c r="L4" s="442" t="s">
        <v>6</v>
      </c>
      <c r="M4" s="443"/>
      <c r="N4" s="172" t="s">
        <v>186</v>
      </c>
      <c r="O4" s="147">
        <v>72</v>
      </c>
    </row>
    <row r="5" spans="1:15" ht="25.15" customHeight="1" x14ac:dyDescent="0.2">
      <c r="A5" s="170" t="s">
        <v>195</v>
      </c>
      <c r="B5" s="148">
        <v>80</v>
      </c>
      <c r="C5" s="149"/>
      <c r="D5" s="436" t="s">
        <v>197</v>
      </c>
      <c r="E5" s="446"/>
      <c r="F5" s="436" t="s">
        <v>196</v>
      </c>
      <c r="G5" s="437"/>
      <c r="H5" s="144"/>
      <c r="I5" s="170" t="s">
        <v>195</v>
      </c>
      <c r="J5" s="148">
        <v>65</v>
      </c>
      <c r="K5" s="149"/>
      <c r="L5" s="436" t="s">
        <v>197</v>
      </c>
      <c r="M5" s="446"/>
      <c r="N5" s="436" t="s">
        <v>196</v>
      </c>
      <c r="O5" s="437"/>
    </row>
    <row r="6" spans="1:15" ht="25.15" customHeight="1" thickBot="1" x14ac:dyDescent="0.25">
      <c r="A6" s="438" t="s">
        <v>187</v>
      </c>
      <c r="B6" s="439"/>
      <c r="C6" s="150"/>
      <c r="D6" s="447" t="s">
        <v>803</v>
      </c>
      <c r="E6" s="448"/>
      <c r="F6" s="440" t="s">
        <v>20</v>
      </c>
      <c r="G6" s="441"/>
      <c r="H6" s="144"/>
      <c r="I6" s="438" t="s">
        <v>187</v>
      </c>
      <c r="J6" s="439"/>
      <c r="K6" s="150"/>
      <c r="L6" s="447" t="s">
        <v>803</v>
      </c>
      <c r="M6" s="448"/>
      <c r="N6" s="440" t="s">
        <v>20</v>
      </c>
      <c r="O6" s="441"/>
    </row>
    <row r="7" spans="1:15" ht="25.15" customHeight="1" x14ac:dyDescent="0.2">
      <c r="A7" s="174" t="s">
        <v>163</v>
      </c>
      <c r="B7" s="175" t="s">
        <v>188</v>
      </c>
      <c r="C7" s="176" t="s">
        <v>189</v>
      </c>
      <c r="D7" s="176" t="s">
        <v>190</v>
      </c>
      <c r="E7" s="175" t="s">
        <v>191</v>
      </c>
      <c r="F7" s="176" t="s">
        <v>192</v>
      </c>
      <c r="G7" s="177" t="s">
        <v>75</v>
      </c>
      <c r="H7" s="144"/>
      <c r="I7" s="174" t="s">
        <v>163</v>
      </c>
      <c r="J7" s="175" t="s">
        <v>188</v>
      </c>
      <c r="K7" s="176" t="s">
        <v>189</v>
      </c>
      <c r="L7" s="176" t="s">
        <v>190</v>
      </c>
      <c r="M7" s="175" t="s">
        <v>191</v>
      </c>
      <c r="N7" s="176" t="s">
        <v>192</v>
      </c>
      <c r="O7" s="177" t="s">
        <v>75</v>
      </c>
    </row>
    <row r="8" spans="1:15" ht="25.15" customHeight="1" x14ac:dyDescent="0.2">
      <c r="A8" s="178" t="s">
        <v>166</v>
      </c>
      <c r="B8" s="151" t="s">
        <v>811</v>
      </c>
      <c r="C8" s="151"/>
      <c r="D8" s="152"/>
      <c r="E8" s="153"/>
      <c r="F8" s="153"/>
      <c r="G8" s="154"/>
      <c r="H8" s="144"/>
      <c r="I8" s="178" t="s">
        <v>166</v>
      </c>
      <c r="J8" s="151" t="s">
        <v>808</v>
      </c>
      <c r="K8" s="151"/>
      <c r="L8" s="152"/>
      <c r="M8" s="153"/>
      <c r="N8" s="153"/>
      <c r="O8" s="154"/>
    </row>
    <row r="9" spans="1:15" ht="25.15" customHeight="1" x14ac:dyDescent="0.2">
      <c r="A9" s="179" t="s">
        <v>165</v>
      </c>
      <c r="B9" s="155" t="s">
        <v>815</v>
      </c>
      <c r="C9" s="151"/>
      <c r="D9" s="153"/>
      <c r="E9" s="156"/>
      <c r="F9" s="153"/>
      <c r="G9" s="157"/>
      <c r="H9" s="144"/>
      <c r="I9" s="179" t="s">
        <v>165</v>
      </c>
      <c r="J9" s="155" t="s">
        <v>812</v>
      </c>
      <c r="K9" s="151"/>
      <c r="L9" s="153"/>
      <c r="M9" s="156"/>
      <c r="N9" s="153"/>
      <c r="O9" s="157"/>
    </row>
    <row r="10" spans="1:15" ht="25.15" customHeight="1" x14ac:dyDescent="0.2">
      <c r="A10" s="455"/>
      <c r="B10" s="456"/>
      <c r="C10" s="158"/>
      <c r="D10" s="159"/>
      <c r="E10" s="180" t="s">
        <v>193</v>
      </c>
      <c r="F10" s="160"/>
      <c r="G10" s="161"/>
      <c r="H10" s="144"/>
      <c r="I10" s="455"/>
      <c r="J10" s="456"/>
      <c r="K10" s="158"/>
      <c r="L10" s="159"/>
      <c r="M10" s="180" t="s">
        <v>193</v>
      </c>
      <c r="N10" s="160"/>
      <c r="O10" s="161"/>
    </row>
    <row r="11" spans="1:15" ht="25.15" customHeight="1" x14ac:dyDescent="0.2">
      <c r="A11" s="450" t="s">
        <v>167</v>
      </c>
      <c r="B11" s="451"/>
      <c r="C11" s="162"/>
      <c r="D11" s="163"/>
      <c r="E11" s="164"/>
      <c r="F11" s="164"/>
      <c r="G11" s="165"/>
      <c r="H11" s="144"/>
      <c r="I11" s="450" t="s">
        <v>167</v>
      </c>
      <c r="J11" s="451"/>
      <c r="K11" s="162"/>
      <c r="L11" s="163"/>
      <c r="M11" s="164"/>
      <c r="N11" s="164"/>
      <c r="O11" s="165"/>
    </row>
    <row r="12" spans="1:15" ht="25.15" customHeight="1" thickBot="1" x14ac:dyDescent="0.25">
      <c r="A12" s="452" t="s">
        <v>915</v>
      </c>
      <c r="B12" s="453"/>
      <c r="C12" s="444"/>
      <c r="D12" s="445"/>
      <c r="E12" s="181" t="s">
        <v>174</v>
      </c>
      <c r="F12" s="166"/>
      <c r="G12" s="167"/>
      <c r="H12" s="144"/>
      <c r="I12" s="452" t="s">
        <v>915</v>
      </c>
      <c r="J12" s="453"/>
      <c r="K12" s="444"/>
      <c r="L12" s="445"/>
      <c r="M12" s="181" t="s">
        <v>174</v>
      </c>
      <c r="N12" s="166"/>
      <c r="O12" s="167"/>
    </row>
    <row r="13" spans="1:15" ht="15" customHeight="1" x14ac:dyDescent="0.2">
      <c r="A13" s="454"/>
      <c r="B13" s="454"/>
      <c r="C13" s="454"/>
      <c r="D13" s="454"/>
      <c r="E13" s="454"/>
      <c r="F13" s="454"/>
      <c r="G13" s="454"/>
      <c r="H13" s="144"/>
      <c r="I13" s="454"/>
      <c r="J13" s="454"/>
      <c r="K13" s="454"/>
      <c r="L13" s="454"/>
      <c r="M13" s="454"/>
      <c r="N13" s="454"/>
      <c r="O13" s="454"/>
    </row>
    <row r="14" spans="1:15" ht="33" customHeight="1" thickBot="1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25.15" customHeight="1" x14ac:dyDescent="0.2">
      <c r="A15" s="457" t="str">
        <f>Setup!$B$6</f>
        <v>第113回関東学生パワーリフティング選手権大会</v>
      </c>
      <c r="B15" s="458"/>
      <c r="C15" s="458"/>
      <c r="D15" s="458"/>
      <c r="E15" s="459"/>
      <c r="F15" s="171" t="s">
        <v>914</v>
      </c>
      <c r="G15" s="143" t="s">
        <v>68</v>
      </c>
      <c r="H15" s="144"/>
      <c r="I15" s="457" t="str">
        <f>Setup!$B$6</f>
        <v>第113回関東学生パワーリフティング選手権大会</v>
      </c>
      <c r="J15" s="458"/>
      <c r="K15" s="458"/>
      <c r="L15" s="458"/>
      <c r="M15" s="459"/>
      <c r="N15" s="171" t="s">
        <v>914</v>
      </c>
      <c r="O15" s="143" t="s">
        <v>68</v>
      </c>
    </row>
    <row r="16" spans="1:15" ht="25.15" customHeight="1" x14ac:dyDescent="0.2">
      <c r="A16" s="170" t="s">
        <v>802</v>
      </c>
      <c r="B16" s="449" t="s">
        <v>805</v>
      </c>
      <c r="C16" s="449"/>
      <c r="D16" s="449"/>
      <c r="E16" s="169"/>
      <c r="F16" s="172" t="s">
        <v>185</v>
      </c>
      <c r="G16" s="145">
        <v>3</v>
      </c>
      <c r="H16" s="144"/>
      <c r="I16" s="170" t="s">
        <v>802</v>
      </c>
      <c r="J16" s="449" t="s">
        <v>806</v>
      </c>
      <c r="K16" s="449"/>
      <c r="L16" s="449"/>
      <c r="M16" s="169"/>
      <c r="N16" s="172" t="s">
        <v>185</v>
      </c>
      <c r="O16" s="145">
        <v>4</v>
      </c>
    </row>
    <row r="17" spans="1:15" ht="25.15" customHeight="1" x14ac:dyDescent="0.2">
      <c r="A17" s="170" t="s">
        <v>913</v>
      </c>
      <c r="B17" s="146">
        <v>32876</v>
      </c>
      <c r="C17" s="173" t="s">
        <v>194</v>
      </c>
      <c r="D17" s="442" t="s">
        <v>6</v>
      </c>
      <c r="E17" s="443"/>
      <c r="F17" s="172" t="s">
        <v>186</v>
      </c>
      <c r="G17" s="147">
        <v>72</v>
      </c>
      <c r="H17" s="144"/>
      <c r="I17" s="170" t="s">
        <v>913</v>
      </c>
      <c r="J17" s="146">
        <v>32877</v>
      </c>
      <c r="K17" s="173" t="s">
        <v>194</v>
      </c>
      <c r="L17" s="442" t="s">
        <v>6</v>
      </c>
      <c r="M17" s="443"/>
      <c r="N17" s="172" t="s">
        <v>186</v>
      </c>
      <c r="O17" s="147">
        <v>72</v>
      </c>
    </row>
    <row r="18" spans="1:15" ht="25.15" customHeight="1" x14ac:dyDescent="0.2">
      <c r="A18" s="170" t="s">
        <v>195</v>
      </c>
      <c r="B18" s="148">
        <v>70</v>
      </c>
      <c r="C18" s="149"/>
      <c r="D18" s="436" t="s">
        <v>197</v>
      </c>
      <c r="E18" s="446"/>
      <c r="F18" s="436" t="s">
        <v>196</v>
      </c>
      <c r="G18" s="437"/>
      <c r="H18" s="144"/>
      <c r="I18" s="170" t="s">
        <v>195</v>
      </c>
      <c r="J18" s="148">
        <v>75</v>
      </c>
      <c r="K18" s="149"/>
      <c r="L18" s="436" t="s">
        <v>197</v>
      </c>
      <c r="M18" s="446"/>
      <c r="N18" s="436" t="s">
        <v>196</v>
      </c>
      <c r="O18" s="437"/>
    </row>
    <row r="19" spans="1:15" ht="25.15" customHeight="1" thickBot="1" x14ac:dyDescent="0.25">
      <c r="A19" s="438" t="s">
        <v>187</v>
      </c>
      <c r="B19" s="439"/>
      <c r="C19" s="150"/>
      <c r="D19" s="447" t="s">
        <v>803</v>
      </c>
      <c r="E19" s="448"/>
      <c r="F19" s="440" t="s">
        <v>20</v>
      </c>
      <c r="G19" s="441"/>
      <c r="H19" s="144"/>
      <c r="I19" s="438" t="s">
        <v>187</v>
      </c>
      <c r="J19" s="439"/>
      <c r="K19" s="150"/>
      <c r="L19" s="447" t="s">
        <v>803</v>
      </c>
      <c r="M19" s="448"/>
      <c r="N19" s="440" t="s">
        <v>20</v>
      </c>
      <c r="O19" s="441"/>
    </row>
    <row r="20" spans="1:15" ht="25.15" customHeight="1" x14ac:dyDescent="0.2">
      <c r="A20" s="174" t="s">
        <v>163</v>
      </c>
      <c r="B20" s="175" t="s">
        <v>188</v>
      </c>
      <c r="C20" s="176" t="s">
        <v>189</v>
      </c>
      <c r="D20" s="176" t="s">
        <v>190</v>
      </c>
      <c r="E20" s="175" t="s">
        <v>191</v>
      </c>
      <c r="F20" s="176" t="s">
        <v>192</v>
      </c>
      <c r="G20" s="177" t="s">
        <v>75</v>
      </c>
      <c r="H20" s="144"/>
      <c r="I20" s="174" t="s">
        <v>163</v>
      </c>
      <c r="J20" s="175" t="s">
        <v>188</v>
      </c>
      <c r="K20" s="176" t="s">
        <v>189</v>
      </c>
      <c r="L20" s="176" t="s">
        <v>190</v>
      </c>
      <c r="M20" s="175" t="s">
        <v>191</v>
      </c>
      <c r="N20" s="176" t="s">
        <v>192</v>
      </c>
      <c r="O20" s="177" t="s">
        <v>75</v>
      </c>
    </row>
    <row r="21" spans="1:15" ht="25.15" customHeight="1" x14ac:dyDescent="0.2">
      <c r="A21" s="178" t="s">
        <v>166</v>
      </c>
      <c r="B21" s="151" t="s">
        <v>809</v>
      </c>
      <c r="C21" s="151"/>
      <c r="D21" s="152"/>
      <c r="E21" s="153"/>
      <c r="F21" s="153"/>
      <c r="G21" s="154"/>
      <c r="H21" s="144"/>
      <c r="I21" s="178" t="s">
        <v>166</v>
      </c>
      <c r="J21" s="151" t="s">
        <v>810</v>
      </c>
      <c r="K21" s="151"/>
      <c r="L21" s="152"/>
      <c r="M21" s="153"/>
      <c r="N21" s="153"/>
      <c r="O21" s="154"/>
    </row>
    <row r="22" spans="1:15" ht="25.15" customHeight="1" x14ac:dyDescent="0.2">
      <c r="A22" s="179" t="s">
        <v>165</v>
      </c>
      <c r="B22" s="155" t="s">
        <v>813</v>
      </c>
      <c r="C22" s="151"/>
      <c r="D22" s="153"/>
      <c r="E22" s="156"/>
      <c r="F22" s="153"/>
      <c r="G22" s="157"/>
      <c r="H22" s="144"/>
      <c r="I22" s="179" t="s">
        <v>165</v>
      </c>
      <c r="J22" s="155" t="s">
        <v>814</v>
      </c>
      <c r="K22" s="151"/>
      <c r="L22" s="153"/>
      <c r="M22" s="156"/>
      <c r="N22" s="153"/>
      <c r="O22" s="157"/>
    </row>
    <row r="23" spans="1:15" ht="25.15" customHeight="1" x14ac:dyDescent="0.2">
      <c r="A23" s="455"/>
      <c r="B23" s="456"/>
      <c r="C23" s="158"/>
      <c r="D23" s="159"/>
      <c r="E23" s="180" t="s">
        <v>193</v>
      </c>
      <c r="F23" s="160"/>
      <c r="G23" s="161"/>
      <c r="H23" s="144"/>
      <c r="I23" s="455"/>
      <c r="J23" s="456"/>
      <c r="K23" s="158"/>
      <c r="L23" s="159"/>
      <c r="M23" s="180" t="s">
        <v>193</v>
      </c>
      <c r="N23" s="160"/>
      <c r="O23" s="161"/>
    </row>
    <row r="24" spans="1:15" ht="25.15" customHeight="1" x14ac:dyDescent="0.2">
      <c r="A24" s="450" t="s">
        <v>167</v>
      </c>
      <c r="B24" s="451"/>
      <c r="C24" s="162"/>
      <c r="D24" s="163"/>
      <c r="E24" s="164"/>
      <c r="F24" s="164"/>
      <c r="G24" s="165"/>
      <c r="H24" s="144"/>
      <c r="I24" s="450" t="s">
        <v>167</v>
      </c>
      <c r="J24" s="451"/>
      <c r="K24" s="162"/>
      <c r="L24" s="163"/>
      <c r="M24" s="164"/>
      <c r="N24" s="164"/>
      <c r="O24" s="165"/>
    </row>
    <row r="25" spans="1:15" ht="25.15" customHeight="1" thickBot="1" x14ac:dyDescent="0.25">
      <c r="A25" s="452" t="s">
        <v>915</v>
      </c>
      <c r="B25" s="453"/>
      <c r="C25" s="444"/>
      <c r="D25" s="445"/>
      <c r="E25" s="181" t="s">
        <v>174</v>
      </c>
      <c r="F25" s="166"/>
      <c r="G25" s="167"/>
      <c r="H25" s="144"/>
      <c r="I25" s="452" t="s">
        <v>915</v>
      </c>
      <c r="J25" s="453"/>
      <c r="K25" s="444"/>
      <c r="L25" s="445"/>
      <c r="M25" s="181" t="s">
        <v>174</v>
      </c>
      <c r="N25" s="166"/>
      <c r="O25" s="167"/>
    </row>
    <row r="26" spans="1:15" x14ac:dyDescent="0.2">
      <c r="A26" s="454"/>
      <c r="B26" s="454"/>
      <c r="C26" s="454"/>
      <c r="D26" s="454"/>
      <c r="E26" s="454"/>
      <c r="F26" s="454"/>
      <c r="G26" s="454"/>
      <c r="H26" s="144"/>
      <c r="I26" s="454"/>
      <c r="J26" s="454"/>
      <c r="K26" s="454"/>
      <c r="L26" s="454"/>
      <c r="M26" s="454"/>
      <c r="N26" s="454"/>
      <c r="O26" s="454"/>
    </row>
  </sheetData>
  <mergeCells count="52">
    <mergeCell ref="A2:E2"/>
    <mergeCell ref="I2:M2"/>
    <mergeCell ref="L4:M4"/>
    <mergeCell ref="B3:D3"/>
    <mergeCell ref="J3:L3"/>
    <mergeCell ref="I12:J12"/>
    <mergeCell ref="D4:E4"/>
    <mergeCell ref="A6:B6"/>
    <mergeCell ref="A10:B10"/>
    <mergeCell ref="D5:E5"/>
    <mergeCell ref="I10:J10"/>
    <mergeCell ref="D6:E6"/>
    <mergeCell ref="F5:G5"/>
    <mergeCell ref="F6:G6"/>
    <mergeCell ref="A23:B23"/>
    <mergeCell ref="D18:E18"/>
    <mergeCell ref="L18:M18"/>
    <mergeCell ref="A13:G13"/>
    <mergeCell ref="I13:O13"/>
    <mergeCell ref="A15:E15"/>
    <mergeCell ref="I15:M15"/>
    <mergeCell ref="N19:O19"/>
    <mergeCell ref="D19:E19"/>
    <mergeCell ref="L19:M19"/>
    <mergeCell ref="A19:B19"/>
    <mergeCell ref="F19:G19"/>
    <mergeCell ref="I19:J19"/>
    <mergeCell ref="I23:J23"/>
    <mergeCell ref="A24:B24"/>
    <mergeCell ref="I24:J24"/>
    <mergeCell ref="A25:B25"/>
    <mergeCell ref="I25:J25"/>
    <mergeCell ref="A26:G26"/>
    <mergeCell ref="I26:O26"/>
    <mergeCell ref="C25:D25"/>
    <mergeCell ref="K25:L25"/>
    <mergeCell ref="N5:O5"/>
    <mergeCell ref="I6:J6"/>
    <mergeCell ref="N6:O6"/>
    <mergeCell ref="D17:E17"/>
    <mergeCell ref="F18:G18"/>
    <mergeCell ref="L17:M17"/>
    <mergeCell ref="N18:O18"/>
    <mergeCell ref="C12:D12"/>
    <mergeCell ref="K12:L12"/>
    <mergeCell ref="L5:M5"/>
    <mergeCell ref="L6:M6"/>
    <mergeCell ref="B16:D16"/>
    <mergeCell ref="J16:L16"/>
    <mergeCell ref="A11:B11"/>
    <mergeCell ref="I11:J11"/>
    <mergeCell ref="A12:B12"/>
  </mergeCells>
  <phoneticPr fontId="72"/>
  <printOptions horizontalCentered="1" verticalCentered="1"/>
  <pageMargins left="0" right="0" top="0" bottom="0" header="0" footer="0"/>
  <pageSetup scale="9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pageSetUpPr fitToPage="1"/>
  </sheetPr>
  <dimension ref="A1:AG1"/>
  <sheetViews>
    <sheetView zoomScaleNormal="100" workbookViewId="0">
      <selection activeCell="S1" sqref="S1:S1048576"/>
    </sheetView>
  </sheetViews>
  <sheetFormatPr defaultColWidth="9.28515625" defaultRowHeight="18" customHeight="1" x14ac:dyDescent="0.2"/>
  <cols>
    <col min="1" max="1" width="17.7109375" style="197" customWidth="1"/>
    <col min="2" max="2" width="24.7109375" style="197" customWidth="1"/>
    <col min="3" max="3" width="8.28515625" style="138" customWidth="1"/>
    <col min="4" max="5" width="8.28515625" style="197" customWidth="1"/>
    <col min="6" max="6" width="8.28515625" style="138" customWidth="1"/>
    <col min="7" max="16" width="8.28515625" style="66" customWidth="1"/>
    <col min="17" max="17" width="8.28515625" style="56" customWidth="1"/>
    <col min="18" max="18" width="10.7109375" style="56" customWidth="1"/>
    <col min="19" max="16384" width="9.28515625" style="56"/>
  </cols>
  <sheetData>
    <row r="1" spans="33:33" ht="18" customHeight="1" x14ac:dyDescent="0.2">
      <c r="AG1" s="56">
        <f>3*COUNTA(C:C)</f>
        <v>0</v>
      </c>
    </row>
  </sheetData>
  <phoneticPr fontId="72"/>
  <conditionalFormatting sqref="A1:XFD1048576">
    <cfRule type="expression" dxfId="7" priority="1">
      <formula>AND(A1&lt;0)</formula>
    </cfRule>
  </conditionalFormatting>
  <pageMargins left="0.45" right="0.45" top="0.5" bottom="0.75" header="0" footer="0.3"/>
  <pageSetup scale="23" fitToHeight="0" orientation="landscape" horizontalDpi="4294967293" r:id="rId1"/>
  <headerFooter>
    <oddFooter>&amp;LLeft Referee
__________________________&amp;CChief Referee
__________________________&amp;RRight Referee
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6</vt:i4>
      </vt:variant>
    </vt:vector>
  </HeadingPairs>
  <TitlesOfParts>
    <vt:vector size="22" baseType="lpstr">
      <vt:lpstr>Setup</vt:lpstr>
      <vt:lpstr>Lists</vt:lpstr>
      <vt:lpstr>DATA</vt:lpstr>
      <vt:lpstr>Weigh-In</vt:lpstr>
      <vt:lpstr>Lifting</vt:lpstr>
      <vt:lpstr>QuickPrint</vt:lpstr>
      <vt:lpstr>Awards</vt:lpstr>
      <vt:lpstr>SpeakersCard</vt:lpstr>
      <vt:lpstr>ContestResults</vt:lpstr>
      <vt:lpstr>ContestLog</vt:lpstr>
      <vt:lpstr>KG Records</vt:lpstr>
      <vt:lpstr>LB Records</vt:lpstr>
      <vt:lpstr>Quick-Reference</vt:lpstr>
      <vt:lpstr>IPF Formula</vt:lpstr>
      <vt:lpstr>Sheet1</vt:lpstr>
      <vt:lpstr>エントリー表</vt:lpstr>
      <vt:lpstr>'Quick-Reference'!_Toc479714606</vt:lpstr>
      <vt:lpstr>Lists!Attempts</vt:lpstr>
      <vt:lpstr>QuickPrint!Print_Area</vt:lpstr>
      <vt:lpstr>Rack</vt:lpstr>
      <vt:lpstr>氏名</vt:lpstr>
      <vt:lpstr>重量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塩田宗廣</dc:creator>
  <cp:lastModifiedBy>青山学院大学部</cp:lastModifiedBy>
  <cp:lastPrinted>2022-11-27T01:33:59Z</cp:lastPrinted>
  <dcterms:created xsi:type="dcterms:W3CDTF">2013-12-26T14:15:08Z</dcterms:created>
  <dcterms:modified xsi:type="dcterms:W3CDTF">2022-11-30T03:20:32Z</dcterms:modified>
</cp:coreProperties>
</file>